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tec03pc" sheetId="1" r:id="rId1"/>
  </sheets>
  <definedNames/>
  <calcPr fullCalcOnLoad="1"/>
</workbook>
</file>

<file path=xl/sharedStrings.xml><?xml version="1.0" encoding="utf-8"?>
<sst xmlns="http://schemas.openxmlformats.org/spreadsheetml/2006/main" count="712" uniqueCount="231">
  <si>
    <t>Organization</t>
  </si>
  <si>
    <t>Name</t>
  </si>
  <si>
    <t>Date</t>
  </si>
  <si>
    <t>AIDES AT HOME</t>
  </si>
  <si>
    <t>ABLE HEALTH CARE SERVICE INC.</t>
  </si>
  <si>
    <t>HEALTH ACQUISITION CORP DBA ALLEN HEALTH CARE SERV</t>
  </si>
  <si>
    <t>RECCO HOME CARE</t>
  </si>
  <si>
    <t>UNLIMITED CARE</t>
  </si>
  <si>
    <t>VNS-ROCHESTER</t>
  </si>
  <si>
    <t>GREATER ADIRONDACK HOME AIDES</t>
  </si>
  <si>
    <t>PERSONAL TOUCH HOME CARE</t>
  </si>
  <si>
    <t>A &amp; B HEALTH CARE SERVICES</t>
  </si>
  <si>
    <t>HCR</t>
  </si>
  <si>
    <t>FAMILY SERVICES OF WESTCHESTER</t>
  </si>
  <si>
    <t>FAMILY SERVICE SOCIETY OF YONKERS</t>
  </si>
  <si>
    <t>HOME HEALTH SVS. WEST. JEWISH</t>
  </si>
  <si>
    <t>A &amp; A STAFFING HEALTH CARE</t>
  </si>
  <si>
    <t>FAMILY AND CHILD SERVICE</t>
  </si>
  <si>
    <t>INTERIM HEALTHCARE OF SYRACUSE,INC.</t>
  </si>
  <si>
    <t>HOME AIDES OF CENTRAL NEW YORK</t>
  </si>
  <si>
    <t>HOME AIDES OF CENTRAL NEW YORK, INC.</t>
  </si>
  <si>
    <t>FAMILY AND CHILDREN'S SOCIETY OF BROOME COUNTY</t>
  </si>
  <si>
    <t>INTERIM HEALTHCARE OF BINGHAMTON, INC.</t>
  </si>
  <si>
    <t>VIP HEALTH CARE SERVICES</t>
  </si>
  <si>
    <t>BEST CARE</t>
  </si>
  <si>
    <t>HOMEMAKERS OF WESTERN NY, INC DBA CAREGIVERS</t>
  </si>
  <si>
    <t>ACCREDITED CARE INC.</t>
  </si>
  <si>
    <t>CHAUTAUQUA OPPORTUNITIES</t>
  </si>
  <si>
    <t>WILLCARE INC.</t>
  </si>
  <si>
    <t>HELPING HANDS HOMEMAKING SERV</t>
  </si>
  <si>
    <t>ALL METRO HEALTH CARE</t>
  </si>
  <si>
    <t>ATTENTIVE CARE</t>
  </si>
  <si>
    <t>MERCY HOMECARE</t>
  </si>
  <si>
    <t>NORTH COUNTRY HOME SERVICES, INC.</t>
  </si>
  <si>
    <t>HOME HEALTH CARE OF HAMILTON COUNTY, INC.</t>
  </si>
  <si>
    <t>COMMUNITY CARE OF WNY</t>
  </si>
  <si>
    <t>FAMILY SERVICES OF CHEMUNG</t>
  </si>
  <si>
    <t>ACCREDITED AIDES PLUS</t>
  </si>
  <si>
    <t>LITSON HOME CARE</t>
  </si>
  <si>
    <t>ULSTER CO. HOME HEALTH</t>
  </si>
  <si>
    <t>HOME &amp; HEALTH CARE SERVICES</t>
  </si>
  <si>
    <t>HOMEMAKERS OF MOHAWK VALLEY, INC DBA CAREGIVERS</t>
  </si>
  <si>
    <t>Wellness Home Care LTD</t>
  </si>
  <si>
    <t>WELLNESS HOME CARE</t>
  </si>
  <si>
    <t>HUDSON VALLEY HOME CARE</t>
  </si>
  <si>
    <t>HEALTH SERVICES OF NORTHERN NY</t>
  </si>
  <si>
    <t>ST. LAWRENCE COMMUNITY DEV. PR</t>
  </si>
  <si>
    <t>RESOURCE CENTER FOR INDEPENDENT LIVING, INC.</t>
  </si>
  <si>
    <t>RESOURCE CENTER FOR INDEPENDANT LIVING</t>
  </si>
  <si>
    <t>SELFHELP</t>
  </si>
  <si>
    <t>ANY-TIME HOME CARE</t>
  </si>
  <si>
    <t>HOMEMAKERS OF BROOME, INC DBA CAREGIVERS</t>
  </si>
  <si>
    <t>ACCENTCARE OF NY</t>
  </si>
  <si>
    <t>INDEPENDENT HEALTH CARE SERVIC</t>
  </si>
  <si>
    <t>AMAK HEALTHCARE</t>
  </si>
  <si>
    <t>PEOPLE INC.</t>
  </si>
  <si>
    <t>STAFKINGS HEALTHCARE SYSTEMS</t>
  </si>
  <si>
    <t>COMMUNITY HEALTH AIDE SERVICES</t>
  </si>
  <si>
    <t>Community Health Aide Services</t>
  </si>
  <si>
    <t>ADEPT HEALTH CARE SERVICE, INC.</t>
  </si>
  <si>
    <t>SOUTH SHORE HOME HEALTH SERVICE</t>
  </si>
  <si>
    <t>PEOPLE CARE INC</t>
  </si>
  <si>
    <t>ACCU CARE HEALTH SERVICES</t>
  </si>
  <si>
    <t>UTOPIA HOME CARE</t>
  </si>
  <si>
    <t>HOME HEALTH CARE &amp; COMPANION AGENCY, INC.</t>
  </si>
  <si>
    <t>AFTERCARE NURSING SERVICES, INC.</t>
  </si>
  <si>
    <t>AFTERCARE NURSING SERVICE INC</t>
  </si>
  <si>
    <t>SUPERIOR HOME HEALTH CARE</t>
  </si>
  <si>
    <t>BETTER HOME HEALTH CARE</t>
  </si>
  <si>
    <t>A &amp; T HEALTHCARE</t>
  </si>
  <si>
    <t>ENABLE</t>
  </si>
  <si>
    <t>PREMIER HOME HEALTH SERVICES INC.</t>
  </si>
  <si>
    <t>ACCENT HEALTH CARE SERVICES INC</t>
  </si>
  <si>
    <t>ACCENT HEALTH CARE SERVICES, INC.</t>
  </si>
  <si>
    <t>COTTAGE HOMECARE SERVICES INC</t>
  </si>
  <si>
    <t>MARIAN CARE INC.</t>
  </si>
  <si>
    <t>FIRST CHOICE HOME CARE</t>
  </si>
  <si>
    <t>LONG ISLAND CARE AT HOME</t>
  </si>
  <si>
    <t>WESTCHESTER CARE AT HOME</t>
  </si>
  <si>
    <t>VISITING NURSE ASSOCIATION HOME HEALTH SERVICES</t>
  </si>
  <si>
    <t>GENESEE REGION HOME CARE OF ONTARIO COU</t>
  </si>
  <si>
    <t>GENESEE REGION HOME CARE OF ONTARIO COUN</t>
  </si>
  <si>
    <t>GENESEE REGION HOME CARE OF ONTARIO COUNTY, INC.</t>
  </si>
  <si>
    <t>G.E.M HEALTH CARE AGENCY INC.</t>
  </si>
  <si>
    <t>NURSES ON HAND REGISTRY</t>
  </si>
  <si>
    <t>GENTLE HOME HEALTH CARE</t>
  </si>
  <si>
    <t>REGION CARE INC</t>
  </si>
  <si>
    <t>WARTBURG RESIDENTIAL COMMUNITY INC.</t>
  </si>
  <si>
    <t>PHC SERVICES LTD</t>
  </si>
  <si>
    <t>CONCEPT CARE INC</t>
  </si>
  <si>
    <t>ROCKLAND INDEPENDENT LIVING CENTER, INC.</t>
  </si>
  <si>
    <t>LOWER WEST SIDE HOUSEHOLD SERVICES CORP</t>
  </si>
  <si>
    <t>VISITING NURSES HOME CARE CORP</t>
  </si>
  <si>
    <t>COMPREHENSIVE TECHNOLOGY CTR</t>
  </si>
  <si>
    <t>SENECA CAYUGA COUNTIES NYSARC, INC.</t>
  </si>
  <si>
    <t>PRESBYTERIAN RESIDENTIAL COMMUNITY, INC.</t>
  </si>
  <si>
    <t>Priority Home Care, Inc</t>
  </si>
  <si>
    <t>PRIORITY HOME CARE, INC</t>
  </si>
  <si>
    <t>ARISE, INC.</t>
  </si>
  <si>
    <t>FAMILY EMPOWERMENT COUNCIL, INC.</t>
  </si>
  <si>
    <t>INDEPENDENT LIVING INC.</t>
  </si>
  <si>
    <t>MID-HUDSON MANAGED HOME CARE, INC.</t>
  </si>
  <si>
    <t>MID-HUDSON MANAGED HOME CARE</t>
  </si>
  <si>
    <t>UNITED CEREBRAL PALSY ASSOC. OF THE NORTH COUNTRY</t>
  </si>
  <si>
    <t>SOUTHERN TIER INDEPENDENCE CENTER</t>
  </si>
  <si>
    <t>THE DALE ASSOCIATION</t>
  </si>
  <si>
    <t>JAWANIO, INC.</t>
  </si>
  <si>
    <t>FINGER LAKES INDEPENDENCE CENTER</t>
  </si>
  <si>
    <t>COMMUNITY WORK AND INDEPENDENCE</t>
  </si>
  <si>
    <t>COMMUNITY WORK AND INDEPENDENCE INC</t>
  </si>
  <si>
    <t>GRACE CHURCH COMMUNITY CTR DBA NEIGHBORS PROGRAM</t>
  </si>
  <si>
    <t>LONG ISLAND CENTER FOR INDEPENDENT LIVING</t>
  </si>
  <si>
    <t>ACCESS TO INDEPENDENCE AND MOBILITY</t>
  </si>
  <si>
    <t>HOLDEN HOME LICENSED HOME CARE AGENCY</t>
  </si>
  <si>
    <t>FINGER LAKES HOME CARE</t>
  </si>
  <si>
    <t>CONSUMER DIRECTED CHOICES</t>
  </si>
  <si>
    <t>CENTER FOR DISABILITY RIGHTS</t>
  </si>
  <si>
    <t>MENORAH LICENSED HOME CARE</t>
  </si>
  <si>
    <t>HEALTH FORCE</t>
  </si>
  <si>
    <t>ST. PETER'S LICENSED HOME CARE</t>
  </si>
  <si>
    <t>FRIENDS HOME CARE</t>
  </si>
  <si>
    <t>HAND IN HAND CARE</t>
  </si>
  <si>
    <t>ABET UNIVERSAL SERVICES</t>
  </si>
  <si>
    <t>METRO INTERFAITH HOME CARE</t>
  </si>
  <si>
    <t>ENS HLTH CARE MGMT (Interim Healthcare)</t>
  </si>
  <si>
    <t>ENS HLTH CARE MGMT (Interim Health Care)</t>
  </si>
  <si>
    <t>ENS HLTH MGMT(Interim Healthcare</t>
  </si>
  <si>
    <t>LIVING RESOURCES HOME CARE AGENCY,INC</t>
  </si>
  <si>
    <t>Hamaspik of Orange County</t>
  </si>
  <si>
    <t>HAMASPIK OF ROCKLAND COUNTY, INC.</t>
  </si>
  <si>
    <t>MAXIM OF NY LLC</t>
  </si>
  <si>
    <t>MAXIM HEALTHCARE SERVICES</t>
  </si>
  <si>
    <t>WNY INDEPENDENT LIVING PROJECT</t>
  </si>
  <si>
    <t>WESTERN NY INDEPENDENT LIVING PROJECT</t>
  </si>
  <si>
    <t>WESTERN NY INDEPENDENT LIVING CENTER</t>
  </si>
  <si>
    <t>PRIORITY HOME CARE</t>
  </si>
  <si>
    <t>ANGEL HOME HEALTH CARE</t>
  </si>
  <si>
    <t>OTSEGO COUNTY PUBLIC HEALTH</t>
  </si>
  <si>
    <t>AT HOME CARE PARTNERS, INC</t>
  </si>
  <si>
    <t>UNITY AT HOME</t>
  </si>
  <si>
    <t>A &amp; J HOME CARE</t>
  </si>
  <si>
    <t>A &amp; J HOMECARE INC</t>
  </si>
  <si>
    <t>FORT HUDSON HOMECARE</t>
  </si>
  <si>
    <t>AT HOME LTD</t>
  </si>
  <si>
    <t>MEDICAL SOLUTIONS, INC.</t>
  </si>
  <si>
    <t>ALL ABOUT YOU HOME CARE,INC</t>
  </si>
  <si>
    <t>ALL ABOUT YOU HOME CARE, INC.</t>
  </si>
  <si>
    <t>COMPANION CARE OF ROCHESTER</t>
  </si>
  <si>
    <t>INNOVATIVE CARE</t>
  </si>
  <si>
    <t>Independent home Care Inc.</t>
  </si>
  <si>
    <t>Independent Home Care, Inc.</t>
  </si>
  <si>
    <t>AT HOME INDEPENDENT CARE, INC</t>
  </si>
  <si>
    <t>AT HOME INDEPENDENT CARE INC.</t>
  </si>
  <si>
    <t>AZOR HOME CARE SERVICES</t>
  </si>
  <si>
    <t>VISITING NURSE SERVICES IN WESTCHESTER</t>
  </si>
  <si>
    <t>Mical Home Health Care, Inc</t>
  </si>
  <si>
    <t>VISION HOME CARE SERVICES</t>
  </si>
  <si>
    <t>TOP QUALITY HOME CARE LLC</t>
  </si>
  <si>
    <t>RAMA ASSOCIATES</t>
  </si>
  <si>
    <t>NASSAU</t>
  </si>
  <si>
    <t>SUFFOLK</t>
  </si>
  <si>
    <t>WESTCHESTER</t>
  </si>
  <si>
    <t>ALBANY</t>
  </si>
  <si>
    <t>COLUMBIA</t>
  </si>
  <si>
    <t>DELAWARE</t>
  </si>
  <si>
    <t>DUTCHESS</t>
  </si>
  <si>
    <t>GENESEE</t>
  </si>
  <si>
    <t>GREENE</t>
  </si>
  <si>
    <t>LIVINGSTON</t>
  </si>
  <si>
    <t>MONROE</t>
  </si>
  <si>
    <t>ONTARIO</t>
  </si>
  <si>
    <t>ORANGE</t>
  </si>
  <si>
    <t>PUTNAM</t>
  </si>
  <si>
    <t>ROCKLAND</t>
  </si>
  <si>
    <t>STEUBEN</t>
  </si>
  <si>
    <t>ULSTER</t>
  </si>
  <si>
    <t>SARATOGA</t>
  </si>
  <si>
    <t>WARREN</t>
  </si>
  <si>
    <t>WASHINGTON</t>
  </si>
  <si>
    <t>SCHENECTADY</t>
  </si>
  <si>
    <t>ONONDAGA</t>
  </si>
  <si>
    <t>MADISON</t>
  </si>
  <si>
    <t>OSWEGO</t>
  </si>
  <si>
    <t>BROOME</t>
  </si>
  <si>
    <t>TIOGA</t>
  </si>
  <si>
    <t>CHAUTAUQUA</t>
  </si>
  <si>
    <t>CHEMUNG</t>
  </si>
  <si>
    <t>ERIE</t>
  </si>
  <si>
    <t>FRANKLIN</t>
  </si>
  <si>
    <t>JEFFERSON</t>
  </si>
  <si>
    <t>ST LAWRENCE</t>
  </si>
  <si>
    <t>TOMPKINS</t>
  </si>
  <si>
    <t>CATTARAUGUS</t>
  </si>
  <si>
    <t>NIAGARA</t>
  </si>
  <si>
    <t>ORLEANS</t>
  </si>
  <si>
    <t>RENSSELAER</t>
  </si>
  <si>
    <t>CLINTON</t>
  </si>
  <si>
    <t>ESSEX</t>
  </si>
  <si>
    <t>HAMILTON</t>
  </si>
  <si>
    <t>WYOMING</t>
  </si>
  <si>
    <t>SULLIVAN</t>
  </si>
  <si>
    <t>ONEIDA</t>
  </si>
  <si>
    <t>CHENANGO</t>
  </si>
  <si>
    <t>FULTON</t>
  </si>
  <si>
    <t>HERKIMER</t>
  </si>
  <si>
    <t>LEWIS</t>
  </si>
  <si>
    <t>MONTGOMERY</t>
  </si>
  <si>
    <t>OTSEGO</t>
  </si>
  <si>
    <t>SCHOHARIE</t>
  </si>
  <si>
    <t>CAYUGA</t>
  </si>
  <si>
    <t>CORTLAND</t>
  </si>
  <si>
    <t>SCHUYLER</t>
  </si>
  <si>
    <t>SENECA</t>
  </si>
  <si>
    <t>WAYNE</t>
  </si>
  <si>
    <t>YATES</t>
  </si>
  <si>
    <t>ALLEGANY</t>
  </si>
  <si>
    <t xml:space="preserve">      New York State Department of Health</t>
  </si>
  <si>
    <t xml:space="preserve">  Bureau of Long Term Care Reimbursement</t>
  </si>
  <si>
    <t>County</t>
  </si>
  <si>
    <t xml:space="preserve">Level One </t>
  </si>
  <si>
    <t xml:space="preserve">Level Two </t>
  </si>
  <si>
    <t xml:space="preserve">Level Two Hard To Serve </t>
  </si>
  <si>
    <t xml:space="preserve">Live In </t>
  </si>
  <si>
    <t xml:space="preserve">Shared Aid Level I </t>
  </si>
  <si>
    <t xml:space="preserve">Shared Aid Level Two </t>
  </si>
  <si>
    <t xml:space="preserve">Nursing Supervision </t>
  </si>
  <si>
    <t xml:space="preserve">Nursing Assessment </t>
  </si>
  <si>
    <t xml:space="preserve">Consumer Directed </t>
  </si>
  <si>
    <t xml:space="preserve">Consumer Directed Enhanced </t>
  </si>
  <si>
    <t>Consumer Directed Live In</t>
  </si>
  <si>
    <t xml:space="preserve">                     2014 Personal Care Rates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</si>
</sst>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14" fontId="0" fillId="0" borderId="0" xfId="0" applyNumberFormat="1" applyAlignment="1">
      <alignment/>
    </xf>
    <xf numFmtId="0" fontId="3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35.421875" style="0" customWidth="1"/>
    <col min="3" max="3" width="9.00390625" style="0" customWidth="1"/>
    <col min="4" max="4" width="13.421875" style="0" customWidth="1"/>
    <col min="9" max="9" width="11.140625" style="0" customWidth="1"/>
    <col min="10" max="10" width="11.28125" style="0" customWidth="1"/>
    <col min="11" max="11" width="12.28125" style="0" customWidth="1"/>
    <col min="12" max="12" width="11.8515625" style="0" customWidth="1"/>
    <col min="13" max="13" width="12.00390625" style="0" customWidth="1"/>
    <col min="14" max="14" width="11.7109375" style="0" customWidth="1"/>
    <col min="15" max="15" width="12.140625" style="0" customWidth="1"/>
  </cols>
  <sheetData>
    <row r="1" spans="5:15" ht="15">
      <c r="E1" s="1" t="s">
        <v>216</v>
      </c>
      <c r="O1" s="2">
        <v>41764</v>
      </c>
    </row>
    <row r="2" ht="15">
      <c r="E2" s="1" t="s">
        <v>217</v>
      </c>
    </row>
    <row r="3" ht="15">
      <c r="E3" s="1" t="s">
        <v>230</v>
      </c>
    </row>
    <row r="5" spans="1:15" ht="75">
      <c r="A5" t="s">
        <v>0</v>
      </c>
      <c r="B5" t="s">
        <v>1</v>
      </c>
      <c r="C5" t="s">
        <v>2</v>
      </c>
      <c r="D5" t="s">
        <v>218</v>
      </c>
      <c r="E5" s="3" t="s">
        <v>219</v>
      </c>
      <c r="F5" s="3" t="s">
        <v>220</v>
      </c>
      <c r="G5" s="3" t="s">
        <v>221</v>
      </c>
      <c r="H5" s="3" t="s">
        <v>222</v>
      </c>
      <c r="I5" s="3" t="s">
        <v>223</v>
      </c>
      <c r="J5" s="3" t="s">
        <v>224</v>
      </c>
      <c r="K5" s="3" t="s">
        <v>225</v>
      </c>
      <c r="L5" s="3" t="s">
        <v>226</v>
      </c>
      <c r="M5" s="3" t="s">
        <v>227</v>
      </c>
      <c r="N5" s="3" t="s">
        <v>228</v>
      </c>
      <c r="O5" s="3" t="s">
        <v>229</v>
      </c>
    </row>
    <row r="6" spans="5:15" ht="15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t="str">
        <f>"0134883801"</f>
        <v>0134883801</v>
      </c>
      <c r="B7" t="s">
        <v>72</v>
      </c>
      <c r="C7" t="str">
        <f aca="true" t="shared" si="0" ref="C7:C70">"14/01/01"</f>
        <v>14/01/01</v>
      </c>
      <c r="D7" t="s">
        <v>162</v>
      </c>
      <c r="E7">
        <v>20.39</v>
      </c>
      <c r="F7">
        <v>21.35</v>
      </c>
      <c r="G7">
        <v>20.63</v>
      </c>
      <c r="H7">
        <v>174</v>
      </c>
      <c r="I7">
        <v>18.54</v>
      </c>
      <c r="J7">
        <v>18.17</v>
      </c>
      <c r="K7">
        <v>84.21</v>
      </c>
      <c r="L7">
        <v>78.34</v>
      </c>
      <c r="M7">
        <v>18.29</v>
      </c>
      <c r="N7">
        <v>19.89</v>
      </c>
      <c r="O7">
        <v>0</v>
      </c>
    </row>
    <row r="8" spans="1:15" ht="15">
      <c r="A8" t="str">
        <f>"0112364201"</f>
        <v>0112364201</v>
      </c>
      <c r="B8" t="s">
        <v>62</v>
      </c>
      <c r="C8" t="str">
        <f t="shared" si="0"/>
        <v>14/01/01</v>
      </c>
      <c r="D8" t="s">
        <v>162</v>
      </c>
      <c r="E8">
        <v>18.38</v>
      </c>
      <c r="F8">
        <v>16.72</v>
      </c>
      <c r="G8">
        <v>18.48</v>
      </c>
      <c r="H8">
        <v>0</v>
      </c>
      <c r="I8">
        <v>16.77</v>
      </c>
      <c r="J8">
        <v>17.62</v>
      </c>
      <c r="K8">
        <v>0</v>
      </c>
      <c r="L8">
        <v>0</v>
      </c>
      <c r="M8">
        <v>16.19</v>
      </c>
      <c r="N8">
        <v>18.24</v>
      </c>
      <c r="O8">
        <v>207.26</v>
      </c>
    </row>
    <row r="9" spans="1:15" ht="15">
      <c r="A9" t="str">
        <f>"0106459301"</f>
        <v>0106459301</v>
      </c>
      <c r="B9" t="s">
        <v>59</v>
      </c>
      <c r="C9" t="str">
        <f t="shared" si="0"/>
        <v>14/01/01</v>
      </c>
      <c r="D9" t="s">
        <v>162</v>
      </c>
      <c r="E9">
        <v>19.04</v>
      </c>
      <c r="F9">
        <v>19.78</v>
      </c>
      <c r="G9">
        <v>20.13</v>
      </c>
      <c r="H9">
        <v>0</v>
      </c>
      <c r="I9">
        <v>18.61</v>
      </c>
      <c r="J9">
        <v>19.79</v>
      </c>
      <c r="K9">
        <v>81.01</v>
      </c>
      <c r="L9">
        <v>81.03</v>
      </c>
      <c r="M9">
        <v>0</v>
      </c>
      <c r="N9">
        <v>0</v>
      </c>
      <c r="O9">
        <v>0</v>
      </c>
    </row>
    <row r="10" spans="1:15" ht="15">
      <c r="A10" t="str">
        <f>"0084696001"</f>
        <v>0084696001</v>
      </c>
      <c r="B10" t="s">
        <v>30</v>
      </c>
      <c r="C10" t="str">
        <f t="shared" si="0"/>
        <v>14/01/01</v>
      </c>
      <c r="D10" t="s">
        <v>162</v>
      </c>
      <c r="E10">
        <v>16.2</v>
      </c>
      <c r="F10">
        <v>16.18</v>
      </c>
      <c r="G10">
        <v>23.33</v>
      </c>
      <c r="H10">
        <v>207.43</v>
      </c>
      <c r="I10">
        <v>15.9</v>
      </c>
      <c r="J10">
        <v>15.85</v>
      </c>
      <c r="K10">
        <v>100.66</v>
      </c>
      <c r="L10">
        <v>100.66</v>
      </c>
      <c r="M10">
        <v>17.26</v>
      </c>
      <c r="N10">
        <v>23.74</v>
      </c>
      <c r="O10">
        <v>219.32</v>
      </c>
    </row>
    <row r="11" spans="1:15" ht="15">
      <c r="A11" t="str">
        <f>"0256956001"</f>
        <v>0256956001</v>
      </c>
      <c r="B11" t="s">
        <v>136</v>
      </c>
      <c r="C11" t="str">
        <f t="shared" si="0"/>
        <v>14/01/01</v>
      </c>
      <c r="D11" t="s">
        <v>162</v>
      </c>
      <c r="E11">
        <v>0</v>
      </c>
      <c r="F11">
        <v>21.7</v>
      </c>
      <c r="G11">
        <v>23.92</v>
      </c>
      <c r="H11">
        <v>0</v>
      </c>
      <c r="I11">
        <v>0</v>
      </c>
      <c r="J11">
        <v>0</v>
      </c>
      <c r="K11">
        <v>77.23</v>
      </c>
      <c r="L11">
        <v>77.23</v>
      </c>
      <c r="M11">
        <v>0</v>
      </c>
      <c r="N11">
        <v>0</v>
      </c>
      <c r="O11">
        <v>0</v>
      </c>
    </row>
    <row r="12" spans="1:15" ht="15">
      <c r="A12" t="str">
        <f>"0099143301"</f>
        <v>0099143301</v>
      </c>
      <c r="B12" t="s">
        <v>50</v>
      </c>
      <c r="C12" t="str">
        <f t="shared" si="0"/>
        <v>14/01/01</v>
      </c>
      <c r="D12" t="s">
        <v>162</v>
      </c>
      <c r="E12">
        <v>19.51</v>
      </c>
      <c r="F12">
        <v>19.43</v>
      </c>
      <c r="G12">
        <v>28.16</v>
      </c>
      <c r="H12">
        <v>291.72</v>
      </c>
      <c r="I12">
        <v>20.67</v>
      </c>
      <c r="J12">
        <v>21.53</v>
      </c>
      <c r="K12">
        <v>154.45</v>
      </c>
      <c r="L12">
        <v>154.45</v>
      </c>
      <c r="M12">
        <v>17.77</v>
      </c>
      <c r="N12">
        <v>26.12</v>
      </c>
      <c r="O12">
        <v>303.46</v>
      </c>
    </row>
    <row r="13" spans="1:15" ht="15">
      <c r="A13" t="str">
        <f>"0090869001"</f>
        <v>0090869001</v>
      </c>
      <c r="B13" t="s">
        <v>31</v>
      </c>
      <c r="C13" t="str">
        <f t="shared" si="0"/>
        <v>14/01/01</v>
      </c>
      <c r="D13" t="s">
        <v>162</v>
      </c>
      <c r="E13">
        <v>19.72</v>
      </c>
      <c r="F13">
        <v>20.52</v>
      </c>
      <c r="G13">
        <v>20.62</v>
      </c>
      <c r="H13">
        <v>245.91</v>
      </c>
      <c r="I13">
        <v>19.75</v>
      </c>
      <c r="J13">
        <v>20.6</v>
      </c>
      <c r="K13">
        <v>82.92</v>
      </c>
      <c r="L13">
        <v>99.72</v>
      </c>
      <c r="M13">
        <v>18.01</v>
      </c>
      <c r="N13">
        <v>19.95</v>
      </c>
      <c r="O13">
        <v>0</v>
      </c>
    </row>
    <row r="14" spans="1:15" ht="15">
      <c r="A14" t="str">
        <f>"0188056001"</f>
        <v>0188056001</v>
      </c>
      <c r="B14" t="s">
        <v>115</v>
      </c>
      <c r="C14" t="str">
        <f t="shared" si="0"/>
        <v>14/01/01</v>
      </c>
      <c r="D14" t="s">
        <v>162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16.24</v>
      </c>
      <c r="N14">
        <v>17.24</v>
      </c>
      <c r="O14">
        <v>199.77</v>
      </c>
    </row>
    <row r="15" spans="1:15" ht="15">
      <c r="A15" t="str">
        <f>"0215044301"</f>
        <v>0215044301</v>
      </c>
      <c r="B15" t="s">
        <v>124</v>
      </c>
      <c r="C15" t="str">
        <f t="shared" si="0"/>
        <v>14/01/01</v>
      </c>
      <c r="D15" t="s">
        <v>162</v>
      </c>
      <c r="E15">
        <v>20.16</v>
      </c>
      <c r="F15">
        <v>20.97</v>
      </c>
      <c r="G15">
        <v>0</v>
      </c>
      <c r="H15">
        <v>0</v>
      </c>
      <c r="I15">
        <v>20.19</v>
      </c>
      <c r="J15">
        <v>21.12</v>
      </c>
      <c r="K15">
        <v>78.29</v>
      </c>
      <c r="L15">
        <v>78.82</v>
      </c>
      <c r="M15">
        <v>17.67</v>
      </c>
      <c r="N15">
        <v>19.82</v>
      </c>
      <c r="O15">
        <v>234.19</v>
      </c>
    </row>
    <row r="16" spans="1:15" ht="15">
      <c r="A16" t="str">
        <f>"0217285601"</f>
        <v>0217285601</v>
      </c>
      <c r="B16" t="s">
        <v>127</v>
      </c>
      <c r="C16" t="str">
        <f t="shared" si="0"/>
        <v>14/01/01</v>
      </c>
      <c r="D16" t="s">
        <v>162</v>
      </c>
      <c r="E16">
        <v>20.17</v>
      </c>
      <c r="F16">
        <v>20.42</v>
      </c>
      <c r="G16">
        <v>0</v>
      </c>
      <c r="H16">
        <v>0</v>
      </c>
      <c r="I16">
        <v>0</v>
      </c>
      <c r="J16">
        <v>0</v>
      </c>
      <c r="K16">
        <v>79.56</v>
      </c>
      <c r="L16">
        <v>111.53</v>
      </c>
      <c r="M16">
        <v>0</v>
      </c>
      <c r="N16">
        <v>0</v>
      </c>
      <c r="O16">
        <v>0</v>
      </c>
    </row>
    <row r="17" spans="1:15" ht="15">
      <c r="A17" t="str">
        <f>"0231917501"</f>
        <v>0231917501</v>
      </c>
      <c r="B17" t="s">
        <v>130</v>
      </c>
      <c r="C17" t="str">
        <f t="shared" si="0"/>
        <v>14/01/01</v>
      </c>
      <c r="D17" t="s">
        <v>162</v>
      </c>
      <c r="E17">
        <v>20.71</v>
      </c>
      <c r="F17">
        <v>21.04</v>
      </c>
      <c r="G17">
        <v>21.04</v>
      </c>
      <c r="H17">
        <v>210.36</v>
      </c>
      <c r="I17">
        <v>0</v>
      </c>
      <c r="J17">
        <v>0</v>
      </c>
      <c r="K17">
        <v>62.67</v>
      </c>
      <c r="L17">
        <v>0</v>
      </c>
      <c r="M17">
        <v>20.64</v>
      </c>
      <c r="N17">
        <v>21.04</v>
      </c>
      <c r="O17">
        <v>210.34</v>
      </c>
    </row>
    <row r="18" spans="1:15" ht="15">
      <c r="A18" t="str">
        <f>"0200188901"</f>
        <v>0200188901</v>
      </c>
      <c r="B18" t="s">
        <v>119</v>
      </c>
      <c r="C18" t="str">
        <f t="shared" si="0"/>
        <v>14/01/01</v>
      </c>
      <c r="D18" t="s">
        <v>162</v>
      </c>
      <c r="E18">
        <v>20.71</v>
      </c>
      <c r="F18">
        <v>21.48</v>
      </c>
      <c r="G18">
        <v>0</v>
      </c>
      <c r="H18">
        <v>0</v>
      </c>
      <c r="I18">
        <v>0</v>
      </c>
      <c r="J18">
        <v>0</v>
      </c>
      <c r="K18">
        <v>83.92</v>
      </c>
      <c r="L18">
        <v>83.92</v>
      </c>
      <c r="M18">
        <v>0</v>
      </c>
      <c r="N18">
        <v>0</v>
      </c>
      <c r="O18">
        <v>0</v>
      </c>
    </row>
    <row r="19" spans="1:15" ht="15">
      <c r="A19" t="str">
        <f>"0035491201"</f>
        <v>0035491201</v>
      </c>
      <c r="B19" t="s">
        <v>7</v>
      </c>
      <c r="C19" t="str">
        <f t="shared" si="0"/>
        <v>14/01/01</v>
      </c>
      <c r="D19" t="s">
        <v>162</v>
      </c>
      <c r="E19">
        <v>22.71</v>
      </c>
      <c r="F19">
        <v>23.8</v>
      </c>
      <c r="G19">
        <v>26.35</v>
      </c>
      <c r="H19">
        <v>278.19</v>
      </c>
      <c r="I19">
        <v>25.08</v>
      </c>
      <c r="J19">
        <v>24.23</v>
      </c>
      <c r="K19">
        <v>144.69</v>
      </c>
      <c r="L19">
        <v>144.69</v>
      </c>
      <c r="M19">
        <v>24.98</v>
      </c>
      <c r="N19">
        <v>26.54</v>
      </c>
      <c r="O19">
        <v>287.33</v>
      </c>
    </row>
    <row r="20" spans="1:15" ht="15">
      <c r="A20" t="str">
        <f>"0170109101"</f>
        <v>0170109101</v>
      </c>
      <c r="B20" t="s">
        <v>92</v>
      </c>
      <c r="C20" t="str">
        <f t="shared" si="0"/>
        <v>14/01/01</v>
      </c>
      <c r="D20" t="s">
        <v>162</v>
      </c>
      <c r="E20">
        <v>18.4</v>
      </c>
      <c r="F20">
        <v>19.94</v>
      </c>
      <c r="G20">
        <v>26.55</v>
      </c>
      <c r="H20">
        <v>274.56</v>
      </c>
      <c r="I20">
        <v>24.96</v>
      </c>
      <c r="J20">
        <v>25.96</v>
      </c>
      <c r="K20">
        <v>77.23</v>
      </c>
      <c r="L20">
        <v>77.23</v>
      </c>
      <c r="M20">
        <v>17.34</v>
      </c>
      <c r="N20">
        <v>18.02</v>
      </c>
      <c r="O20">
        <v>236.68</v>
      </c>
    </row>
    <row r="21" spans="1:15" ht="15">
      <c r="A21" t="str">
        <f>"0179766202"</f>
        <v>0179766202</v>
      </c>
      <c r="B21" t="s">
        <v>112</v>
      </c>
      <c r="C21" t="str">
        <f t="shared" si="0"/>
        <v>14/01/01</v>
      </c>
      <c r="D21" t="s">
        <v>215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14.11</v>
      </c>
      <c r="N21">
        <v>0</v>
      </c>
      <c r="O21">
        <v>0</v>
      </c>
    </row>
    <row r="22" spans="1:15" ht="15">
      <c r="A22" t="str">
        <f>"0059034503"</f>
        <v>0059034503</v>
      </c>
      <c r="B22" t="s">
        <v>21</v>
      </c>
      <c r="C22" t="str">
        <f t="shared" si="0"/>
        <v>14/01/01</v>
      </c>
      <c r="D22" t="s">
        <v>183</v>
      </c>
      <c r="E22">
        <v>20.88</v>
      </c>
      <c r="F22">
        <v>21.65</v>
      </c>
      <c r="G22">
        <v>0</v>
      </c>
      <c r="H22">
        <v>0</v>
      </c>
      <c r="I22">
        <v>20.91</v>
      </c>
      <c r="J22">
        <v>21.76</v>
      </c>
      <c r="K22">
        <v>65.7</v>
      </c>
      <c r="L22">
        <v>65.71</v>
      </c>
      <c r="M22">
        <v>0</v>
      </c>
      <c r="N22">
        <v>0</v>
      </c>
      <c r="O22">
        <v>0</v>
      </c>
    </row>
    <row r="23" spans="1:15" ht="15">
      <c r="A23" t="str">
        <f>"0099144203"</f>
        <v>0099144203</v>
      </c>
      <c r="B23" t="s">
        <v>51</v>
      </c>
      <c r="C23" t="str">
        <f t="shared" si="0"/>
        <v>14/01/01</v>
      </c>
      <c r="D23" t="s">
        <v>183</v>
      </c>
      <c r="E23">
        <v>18.55</v>
      </c>
      <c r="F23">
        <v>19.33</v>
      </c>
      <c r="G23">
        <v>0</v>
      </c>
      <c r="H23">
        <v>0</v>
      </c>
      <c r="I23">
        <v>18.59</v>
      </c>
      <c r="J23">
        <v>19.4</v>
      </c>
      <c r="K23">
        <v>81.76</v>
      </c>
      <c r="L23">
        <v>0</v>
      </c>
      <c r="M23">
        <v>0</v>
      </c>
      <c r="N23">
        <v>0</v>
      </c>
      <c r="O23">
        <v>0</v>
      </c>
    </row>
    <row r="24" spans="1:15" ht="15">
      <c r="A24" t="str">
        <f>"0059035403"</f>
        <v>0059035403</v>
      </c>
      <c r="B24" t="s">
        <v>22</v>
      </c>
      <c r="C24" t="str">
        <f t="shared" si="0"/>
        <v>14/01/01</v>
      </c>
      <c r="D24" t="s">
        <v>183</v>
      </c>
      <c r="E24">
        <v>21.7</v>
      </c>
      <c r="F24">
        <v>22.48</v>
      </c>
      <c r="G24">
        <v>22.89</v>
      </c>
      <c r="H24">
        <v>0</v>
      </c>
      <c r="I24">
        <v>21.71</v>
      </c>
      <c r="J24">
        <v>22.65</v>
      </c>
      <c r="K24">
        <v>77.22</v>
      </c>
      <c r="L24">
        <v>0</v>
      </c>
      <c r="M24">
        <v>0</v>
      </c>
      <c r="N24">
        <v>0</v>
      </c>
      <c r="O24">
        <v>0</v>
      </c>
    </row>
    <row r="25" spans="1:15" ht="15">
      <c r="A25" t="str">
        <f>"0209721203"</f>
        <v>0209721203</v>
      </c>
      <c r="B25" t="s">
        <v>123</v>
      </c>
      <c r="C25" t="str">
        <f t="shared" si="0"/>
        <v>14/01/01</v>
      </c>
      <c r="D25" t="s">
        <v>183</v>
      </c>
      <c r="E25">
        <v>16.44</v>
      </c>
      <c r="F25">
        <v>16.44</v>
      </c>
      <c r="G25">
        <v>0</v>
      </c>
      <c r="H25">
        <v>0</v>
      </c>
      <c r="I25">
        <v>0</v>
      </c>
      <c r="J25">
        <v>0</v>
      </c>
      <c r="K25">
        <v>58.34</v>
      </c>
      <c r="L25">
        <v>0</v>
      </c>
      <c r="M25">
        <v>0</v>
      </c>
      <c r="N25">
        <v>0</v>
      </c>
      <c r="O25">
        <v>0</v>
      </c>
    </row>
    <row r="26" spans="1:15" ht="15">
      <c r="A26" t="str">
        <f>"0174116603"</f>
        <v>0174116603</v>
      </c>
      <c r="B26" t="s">
        <v>104</v>
      </c>
      <c r="C26" t="str">
        <f t="shared" si="0"/>
        <v>14/01/01</v>
      </c>
      <c r="D26" t="s">
        <v>183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15.42</v>
      </c>
      <c r="N26">
        <v>16.35</v>
      </c>
      <c r="O26">
        <v>0</v>
      </c>
    </row>
    <row r="27" spans="1:15" ht="15">
      <c r="A27" t="str">
        <f>"0105243703"</f>
        <v>0105243703</v>
      </c>
      <c r="B27" t="s">
        <v>56</v>
      </c>
      <c r="C27" t="str">
        <f t="shared" si="0"/>
        <v>14/01/01</v>
      </c>
      <c r="D27" t="s">
        <v>183</v>
      </c>
      <c r="E27">
        <v>20.95</v>
      </c>
      <c r="F27">
        <v>21.83</v>
      </c>
      <c r="G27">
        <v>26.03</v>
      </c>
      <c r="H27">
        <v>262.48</v>
      </c>
      <c r="I27">
        <v>21.08</v>
      </c>
      <c r="J27">
        <v>22.29</v>
      </c>
      <c r="K27">
        <v>127.78</v>
      </c>
      <c r="L27">
        <v>0</v>
      </c>
      <c r="M27">
        <v>21.03</v>
      </c>
      <c r="N27">
        <v>23.41</v>
      </c>
      <c r="O27">
        <v>254.66</v>
      </c>
    </row>
    <row r="28" spans="1:15" ht="15">
      <c r="A28" t="str">
        <f>"0090452704"</f>
        <v>0090452704</v>
      </c>
      <c r="B28" t="s">
        <v>35</v>
      </c>
      <c r="C28" t="str">
        <f t="shared" si="0"/>
        <v>14/01/01</v>
      </c>
      <c r="D28" t="s">
        <v>192</v>
      </c>
      <c r="E28">
        <v>23.33</v>
      </c>
      <c r="F28">
        <v>23.76</v>
      </c>
      <c r="G28">
        <v>0</v>
      </c>
      <c r="H28">
        <v>0</v>
      </c>
      <c r="I28">
        <v>0</v>
      </c>
      <c r="J28">
        <v>0</v>
      </c>
      <c r="K28">
        <v>81.49</v>
      </c>
      <c r="L28">
        <v>81.49</v>
      </c>
      <c r="M28">
        <v>0</v>
      </c>
      <c r="N28">
        <v>0</v>
      </c>
      <c r="O28">
        <v>0</v>
      </c>
    </row>
    <row r="29" spans="1:15" ht="15">
      <c r="A29" t="str">
        <f>"0081106904"</f>
        <v>0081106904</v>
      </c>
      <c r="B29" t="s">
        <v>28</v>
      </c>
      <c r="C29" t="str">
        <f t="shared" si="0"/>
        <v>14/01/01</v>
      </c>
      <c r="D29" t="s">
        <v>192</v>
      </c>
      <c r="E29">
        <v>19.79</v>
      </c>
      <c r="F29">
        <v>20.28</v>
      </c>
      <c r="G29">
        <v>23.85</v>
      </c>
      <c r="H29">
        <v>230.38</v>
      </c>
      <c r="I29">
        <v>23.45</v>
      </c>
      <c r="J29">
        <v>22.86</v>
      </c>
      <c r="K29">
        <v>65.91</v>
      </c>
      <c r="L29">
        <v>95.47</v>
      </c>
      <c r="M29">
        <v>17.61</v>
      </c>
      <c r="N29">
        <v>20.29</v>
      </c>
      <c r="O29">
        <v>218.49</v>
      </c>
    </row>
    <row r="30" spans="1:15" ht="15">
      <c r="A30" t="str">
        <f>"0170770805"</f>
        <v>0170770805</v>
      </c>
      <c r="B30" t="s">
        <v>93</v>
      </c>
      <c r="C30" t="str">
        <f t="shared" si="0"/>
        <v>14/01/01</v>
      </c>
      <c r="D30" t="s">
        <v>209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15.32</v>
      </c>
      <c r="N30">
        <v>0</v>
      </c>
      <c r="O30">
        <v>0</v>
      </c>
    </row>
    <row r="31" spans="1:15" ht="15">
      <c r="A31" t="str">
        <f>"0105243705"</f>
        <v>0105243705</v>
      </c>
      <c r="B31" t="s">
        <v>56</v>
      </c>
      <c r="C31" t="str">
        <f t="shared" si="0"/>
        <v>14/01/01</v>
      </c>
      <c r="D31" t="s">
        <v>209</v>
      </c>
      <c r="E31">
        <v>21.16</v>
      </c>
      <c r="F31">
        <v>22.33</v>
      </c>
      <c r="G31">
        <v>27.24</v>
      </c>
      <c r="H31">
        <v>262.71</v>
      </c>
      <c r="I31">
        <v>26.9</v>
      </c>
      <c r="J31">
        <v>27.05</v>
      </c>
      <c r="K31">
        <v>78.83</v>
      </c>
      <c r="L31">
        <v>0</v>
      </c>
      <c r="M31">
        <v>21.04</v>
      </c>
      <c r="N31">
        <v>23.45</v>
      </c>
      <c r="O31">
        <v>254.73</v>
      </c>
    </row>
    <row r="32" spans="1:15" ht="15">
      <c r="A32" t="str">
        <f>"0081103206"</f>
        <v>0081103206</v>
      </c>
      <c r="B32" t="s">
        <v>26</v>
      </c>
      <c r="C32" t="str">
        <f t="shared" si="0"/>
        <v>14/01/01</v>
      </c>
      <c r="D32" t="s">
        <v>185</v>
      </c>
      <c r="E32">
        <v>19.19</v>
      </c>
      <c r="F32">
        <v>19.59</v>
      </c>
      <c r="G32">
        <v>22.5</v>
      </c>
      <c r="H32">
        <v>0</v>
      </c>
      <c r="I32">
        <v>19.31</v>
      </c>
      <c r="J32">
        <v>21.08</v>
      </c>
      <c r="K32">
        <v>43.45</v>
      </c>
      <c r="L32">
        <v>82.49</v>
      </c>
      <c r="M32">
        <v>0</v>
      </c>
      <c r="N32">
        <v>0</v>
      </c>
      <c r="O32">
        <v>0</v>
      </c>
    </row>
    <row r="33" spans="1:15" ht="15">
      <c r="A33" t="str">
        <f>"0118018906"</f>
        <v>0118018906</v>
      </c>
      <c r="B33" t="s">
        <v>65</v>
      </c>
      <c r="C33" t="str">
        <f t="shared" si="0"/>
        <v>14/01/01</v>
      </c>
      <c r="D33" t="s">
        <v>185</v>
      </c>
      <c r="E33">
        <v>20.55</v>
      </c>
      <c r="F33">
        <v>20.84</v>
      </c>
      <c r="G33">
        <v>23.38</v>
      </c>
      <c r="H33">
        <v>218.98</v>
      </c>
      <c r="I33">
        <v>22.9</v>
      </c>
      <c r="J33">
        <v>21.89</v>
      </c>
      <c r="K33">
        <v>90.17</v>
      </c>
      <c r="L33">
        <v>0</v>
      </c>
      <c r="M33">
        <v>0</v>
      </c>
      <c r="N33">
        <v>0</v>
      </c>
      <c r="O33">
        <v>0</v>
      </c>
    </row>
    <row r="34" spans="1:15" ht="15">
      <c r="A34" t="str">
        <f>"0081104106"</f>
        <v>0081104106</v>
      </c>
      <c r="B34" t="s">
        <v>27</v>
      </c>
      <c r="C34" t="str">
        <f t="shared" si="0"/>
        <v>14/01/01</v>
      </c>
      <c r="D34" t="s">
        <v>185</v>
      </c>
      <c r="E34">
        <v>18.56</v>
      </c>
      <c r="F34">
        <v>19.62</v>
      </c>
      <c r="G34">
        <v>22.28</v>
      </c>
      <c r="H34">
        <v>0</v>
      </c>
      <c r="I34">
        <v>18.27</v>
      </c>
      <c r="J34">
        <v>20.3</v>
      </c>
      <c r="K34">
        <v>45.58</v>
      </c>
      <c r="L34">
        <v>0</v>
      </c>
      <c r="M34">
        <v>0</v>
      </c>
      <c r="N34">
        <v>0</v>
      </c>
      <c r="O34">
        <v>0</v>
      </c>
    </row>
    <row r="35" spans="1:15" ht="15">
      <c r="A35" t="str">
        <f>"0080671706"</f>
        <v>0080671706</v>
      </c>
      <c r="B35" t="s">
        <v>25</v>
      </c>
      <c r="C35" t="str">
        <f t="shared" si="0"/>
        <v>14/01/01</v>
      </c>
      <c r="D35" t="s">
        <v>185</v>
      </c>
      <c r="E35">
        <v>19.19</v>
      </c>
      <c r="F35">
        <v>19.59</v>
      </c>
      <c r="G35">
        <v>0</v>
      </c>
      <c r="H35">
        <v>0</v>
      </c>
      <c r="I35">
        <v>0</v>
      </c>
      <c r="J35">
        <v>0</v>
      </c>
      <c r="K35">
        <v>43.45</v>
      </c>
      <c r="L35">
        <v>0</v>
      </c>
      <c r="M35">
        <v>0</v>
      </c>
      <c r="N35">
        <v>0</v>
      </c>
      <c r="O35">
        <v>0</v>
      </c>
    </row>
    <row r="36" spans="1:15" ht="15">
      <c r="A36" t="str">
        <f>"0081106906"</f>
        <v>0081106906</v>
      </c>
      <c r="B36" t="s">
        <v>28</v>
      </c>
      <c r="C36" t="str">
        <f t="shared" si="0"/>
        <v>14/01/01</v>
      </c>
      <c r="D36" t="s">
        <v>185</v>
      </c>
      <c r="E36">
        <v>18.95</v>
      </c>
      <c r="F36">
        <v>19.76</v>
      </c>
      <c r="G36">
        <v>21.62</v>
      </c>
      <c r="H36">
        <v>230.41</v>
      </c>
      <c r="I36">
        <v>22.26</v>
      </c>
      <c r="J36">
        <v>21.91</v>
      </c>
      <c r="K36">
        <v>66.92</v>
      </c>
      <c r="L36">
        <v>95.4</v>
      </c>
      <c r="M36">
        <v>15.55</v>
      </c>
      <c r="N36">
        <v>20.29</v>
      </c>
      <c r="O36">
        <v>218.51</v>
      </c>
    </row>
    <row r="37" spans="1:15" ht="15">
      <c r="A37" t="str">
        <f>"0179766207"</f>
        <v>0179766207</v>
      </c>
      <c r="B37" t="s">
        <v>112</v>
      </c>
      <c r="C37" t="str">
        <f t="shared" si="0"/>
        <v>14/01/01</v>
      </c>
      <c r="D37" t="s">
        <v>186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13.92</v>
      </c>
      <c r="N37">
        <v>0</v>
      </c>
      <c r="O37">
        <v>0</v>
      </c>
    </row>
    <row r="38" spans="1:15" ht="15">
      <c r="A38" t="str">
        <f>"0194568807"</f>
        <v>0194568807</v>
      </c>
      <c r="B38" t="s">
        <v>116</v>
      </c>
      <c r="C38" t="str">
        <f t="shared" si="0"/>
        <v>14/01/01</v>
      </c>
      <c r="D38" t="s">
        <v>186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13.24</v>
      </c>
      <c r="N38">
        <v>19.18</v>
      </c>
      <c r="O38">
        <v>0</v>
      </c>
    </row>
    <row r="39" spans="1:15" ht="15">
      <c r="A39" t="str">
        <f>"0090645007"</f>
        <v>0090645007</v>
      </c>
      <c r="B39" t="s">
        <v>36</v>
      </c>
      <c r="C39" t="str">
        <f t="shared" si="0"/>
        <v>14/01/01</v>
      </c>
      <c r="D39" t="s">
        <v>186</v>
      </c>
      <c r="E39">
        <v>19.78</v>
      </c>
      <c r="F39">
        <v>20.08</v>
      </c>
      <c r="G39">
        <v>21.52</v>
      </c>
      <c r="H39">
        <v>0</v>
      </c>
      <c r="I39">
        <v>19.58</v>
      </c>
      <c r="J39">
        <v>20.03</v>
      </c>
      <c r="K39">
        <v>81.68</v>
      </c>
      <c r="L39">
        <v>0</v>
      </c>
      <c r="M39">
        <v>0</v>
      </c>
      <c r="N39">
        <v>0</v>
      </c>
      <c r="O39">
        <v>0</v>
      </c>
    </row>
    <row r="40" spans="1:15" ht="15">
      <c r="A40" t="str">
        <f>"0080671707"</f>
        <v>0080671707</v>
      </c>
      <c r="B40" t="s">
        <v>25</v>
      </c>
      <c r="C40" t="str">
        <f t="shared" si="0"/>
        <v>14/01/01</v>
      </c>
      <c r="D40" t="s">
        <v>186</v>
      </c>
      <c r="E40">
        <v>18.94</v>
      </c>
      <c r="F40">
        <v>19.88</v>
      </c>
      <c r="G40">
        <v>0</v>
      </c>
      <c r="H40">
        <v>0</v>
      </c>
      <c r="I40">
        <v>19.21</v>
      </c>
      <c r="J40">
        <v>20.18</v>
      </c>
      <c r="K40">
        <v>79.6</v>
      </c>
      <c r="L40">
        <v>0</v>
      </c>
      <c r="M40">
        <v>0</v>
      </c>
      <c r="N40">
        <v>0</v>
      </c>
      <c r="O40">
        <v>0</v>
      </c>
    </row>
    <row r="41" spans="1:15" ht="15">
      <c r="A41" t="str">
        <f>"0105243707"</f>
        <v>0105243707</v>
      </c>
      <c r="B41" t="s">
        <v>56</v>
      </c>
      <c r="C41" t="str">
        <f t="shared" si="0"/>
        <v>14/01/01</v>
      </c>
      <c r="D41" t="s">
        <v>186</v>
      </c>
      <c r="E41">
        <v>28.45</v>
      </c>
      <c r="F41">
        <v>26.52</v>
      </c>
      <c r="G41">
        <v>26.89</v>
      </c>
      <c r="H41">
        <v>251.23</v>
      </c>
      <c r="I41">
        <v>26.68</v>
      </c>
      <c r="J41">
        <v>26.9</v>
      </c>
      <c r="K41">
        <v>164.95</v>
      </c>
      <c r="L41">
        <v>0</v>
      </c>
      <c r="M41">
        <v>21.03</v>
      </c>
      <c r="N41">
        <v>23.44</v>
      </c>
      <c r="O41">
        <v>254.7</v>
      </c>
    </row>
    <row r="42" spans="1:15" ht="15">
      <c r="A42" t="str">
        <f>"0097412108"</f>
        <v>0097412108</v>
      </c>
      <c r="B42" t="s">
        <v>47</v>
      </c>
      <c r="C42" t="str">
        <f t="shared" si="0"/>
        <v>14/01/01</v>
      </c>
      <c r="D42" t="s">
        <v>202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13.29</v>
      </c>
      <c r="N42">
        <v>16.06</v>
      </c>
      <c r="O42">
        <v>0</v>
      </c>
    </row>
    <row r="43" spans="1:15" ht="15">
      <c r="A43" t="str">
        <f>"0105243708"</f>
        <v>0105243708</v>
      </c>
      <c r="B43" t="s">
        <v>56</v>
      </c>
      <c r="C43" t="str">
        <f t="shared" si="0"/>
        <v>14/01/01</v>
      </c>
      <c r="D43" t="s">
        <v>202</v>
      </c>
      <c r="E43">
        <v>25.9</v>
      </c>
      <c r="F43">
        <v>25.46</v>
      </c>
      <c r="G43">
        <v>28.49</v>
      </c>
      <c r="H43">
        <v>272.61</v>
      </c>
      <c r="I43">
        <v>28.27</v>
      </c>
      <c r="J43">
        <v>28.36</v>
      </c>
      <c r="K43">
        <v>132.63</v>
      </c>
      <c r="L43">
        <v>0</v>
      </c>
      <c r="M43">
        <v>26.15</v>
      </c>
      <c r="N43">
        <v>28.36</v>
      </c>
      <c r="O43">
        <v>312.8</v>
      </c>
    </row>
    <row r="44" spans="1:15" ht="15">
      <c r="A44" t="str">
        <f>"0089173609"</f>
        <v>0089173609</v>
      </c>
      <c r="B44" t="s">
        <v>33</v>
      </c>
      <c r="C44" t="str">
        <f t="shared" si="0"/>
        <v>14/01/01</v>
      </c>
      <c r="D44" t="s">
        <v>196</v>
      </c>
      <c r="E44">
        <v>21.46</v>
      </c>
      <c r="F44">
        <v>21.76</v>
      </c>
      <c r="G44">
        <v>23.18</v>
      </c>
      <c r="H44">
        <v>0</v>
      </c>
      <c r="I44">
        <v>22.99</v>
      </c>
      <c r="J44">
        <v>22.21</v>
      </c>
      <c r="K44">
        <v>100.78</v>
      </c>
      <c r="L44">
        <v>0</v>
      </c>
      <c r="M44">
        <v>0</v>
      </c>
      <c r="N44">
        <v>0</v>
      </c>
      <c r="O44">
        <v>0</v>
      </c>
    </row>
    <row r="45" spans="1:15" ht="15">
      <c r="A45" t="str">
        <f>"0256956010"</f>
        <v>0256956010</v>
      </c>
      <c r="B45" t="s">
        <v>136</v>
      </c>
      <c r="C45" t="str">
        <f t="shared" si="0"/>
        <v>14/01/01</v>
      </c>
      <c r="D45" t="s">
        <v>163</v>
      </c>
      <c r="E45">
        <v>0</v>
      </c>
      <c r="F45">
        <v>21.97</v>
      </c>
      <c r="G45">
        <v>24.78</v>
      </c>
      <c r="H45">
        <v>0</v>
      </c>
      <c r="I45">
        <v>0</v>
      </c>
      <c r="J45">
        <v>0</v>
      </c>
      <c r="K45">
        <v>82.49</v>
      </c>
      <c r="L45">
        <v>82.49</v>
      </c>
      <c r="M45">
        <v>0</v>
      </c>
      <c r="N45">
        <v>0</v>
      </c>
      <c r="O45">
        <v>0</v>
      </c>
    </row>
    <row r="46" spans="1:15" ht="15">
      <c r="A46" t="str">
        <f>"0099143310"</f>
        <v>0099143310</v>
      </c>
      <c r="B46" t="s">
        <v>50</v>
      </c>
      <c r="C46" t="str">
        <f t="shared" si="0"/>
        <v>14/01/01</v>
      </c>
      <c r="D46" t="s">
        <v>163</v>
      </c>
      <c r="E46">
        <v>21.28</v>
      </c>
      <c r="F46">
        <v>21.21</v>
      </c>
      <c r="G46">
        <v>29.1</v>
      </c>
      <c r="H46">
        <v>274.66</v>
      </c>
      <c r="I46">
        <v>30.4</v>
      </c>
      <c r="J46">
        <v>21.64</v>
      </c>
      <c r="K46">
        <v>128.62</v>
      </c>
      <c r="L46">
        <v>143.97</v>
      </c>
      <c r="M46">
        <v>25.93</v>
      </c>
      <c r="N46">
        <v>25.32</v>
      </c>
      <c r="O46">
        <v>287.05</v>
      </c>
    </row>
    <row r="47" spans="1:15" ht="15">
      <c r="A47" t="str">
        <f>"0188056010"</f>
        <v>0188056010</v>
      </c>
      <c r="B47" t="s">
        <v>115</v>
      </c>
      <c r="C47" t="str">
        <f t="shared" si="0"/>
        <v>14/01/01</v>
      </c>
      <c r="D47" t="s">
        <v>163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15.98</v>
      </c>
      <c r="N47">
        <v>16.81</v>
      </c>
      <c r="O47">
        <v>196.95</v>
      </c>
    </row>
    <row r="48" spans="1:15" ht="15">
      <c r="A48" t="str">
        <f>"0215044310"</f>
        <v>0215044310</v>
      </c>
      <c r="B48" t="s">
        <v>125</v>
      </c>
      <c r="C48" t="str">
        <f t="shared" si="0"/>
        <v>14/01/01</v>
      </c>
      <c r="D48" t="s">
        <v>163</v>
      </c>
      <c r="E48">
        <v>20.72</v>
      </c>
      <c r="F48">
        <v>21.01</v>
      </c>
      <c r="G48">
        <v>0</v>
      </c>
      <c r="H48">
        <v>0</v>
      </c>
      <c r="I48">
        <v>0</v>
      </c>
      <c r="J48">
        <v>0</v>
      </c>
      <c r="K48">
        <v>95.22</v>
      </c>
      <c r="L48">
        <v>109.02</v>
      </c>
      <c r="M48">
        <v>0</v>
      </c>
      <c r="N48">
        <v>0</v>
      </c>
      <c r="O48">
        <v>0</v>
      </c>
    </row>
    <row r="49" spans="1:15" ht="15">
      <c r="A49" t="str">
        <f>"0035491210"</f>
        <v>0035491210</v>
      </c>
      <c r="B49" t="s">
        <v>7</v>
      </c>
      <c r="C49" t="str">
        <f t="shared" si="0"/>
        <v>14/01/01</v>
      </c>
      <c r="D49" t="s">
        <v>163</v>
      </c>
      <c r="E49">
        <v>22.58</v>
      </c>
      <c r="F49">
        <v>22.96</v>
      </c>
      <c r="G49">
        <v>28.08</v>
      </c>
      <c r="H49">
        <v>251.12</v>
      </c>
      <c r="I49">
        <v>22.82</v>
      </c>
      <c r="J49">
        <v>23.89</v>
      </c>
      <c r="K49">
        <v>133.52</v>
      </c>
      <c r="L49">
        <v>153.78</v>
      </c>
      <c r="M49">
        <v>17.77</v>
      </c>
      <c r="N49">
        <v>24.11</v>
      </c>
      <c r="O49">
        <v>268.76</v>
      </c>
    </row>
    <row r="50" spans="1:15" ht="15">
      <c r="A50" t="str">
        <f>"0170109110"</f>
        <v>0170109110</v>
      </c>
      <c r="B50" t="s">
        <v>92</v>
      </c>
      <c r="C50" t="str">
        <f t="shared" si="0"/>
        <v>14/01/01</v>
      </c>
      <c r="D50" t="s">
        <v>163</v>
      </c>
      <c r="E50">
        <v>20.39</v>
      </c>
      <c r="F50">
        <v>18.12</v>
      </c>
      <c r="G50">
        <v>27.41</v>
      </c>
      <c r="H50">
        <v>255.61</v>
      </c>
      <c r="I50">
        <v>27.2</v>
      </c>
      <c r="J50">
        <v>26.57</v>
      </c>
      <c r="K50">
        <v>82.49</v>
      </c>
      <c r="L50">
        <v>82.49</v>
      </c>
      <c r="M50">
        <v>17.59</v>
      </c>
      <c r="N50">
        <v>17.05</v>
      </c>
      <c r="O50">
        <v>236.68</v>
      </c>
    </row>
    <row r="51" spans="1:15" ht="15">
      <c r="A51" t="str">
        <f>"0105243711"</f>
        <v>0105243711</v>
      </c>
      <c r="B51" t="s">
        <v>56</v>
      </c>
      <c r="C51" t="str">
        <f t="shared" si="0"/>
        <v>14/01/01</v>
      </c>
      <c r="D51" t="s">
        <v>210</v>
      </c>
      <c r="E51">
        <v>24.02</v>
      </c>
      <c r="F51">
        <v>25.07</v>
      </c>
      <c r="G51">
        <v>27.27</v>
      </c>
      <c r="H51">
        <v>253.12</v>
      </c>
      <c r="I51">
        <v>26.87</v>
      </c>
      <c r="J51">
        <v>27.06</v>
      </c>
      <c r="K51">
        <v>146.94</v>
      </c>
      <c r="L51">
        <v>0</v>
      </c>
      <c r="M51">
        <v>21.16</v>
      </c>
      <c r="N51">
        <v>23.54</v>
      </c>
      <c r="O51">
        <v>256</v>
      </c>
    </row>
    <row r="52" spans="1:15" ht="15">
      <c r="A52" t="str">
        <f>"0097412112"</f>
        <v>0097412112</v>
      </c>
      <c r="B52" t="s">
        <v>47</v>
      </c>
      <c r="C52" t="str">
        <f t="shared" si="0"/>
        <v>14/01/01</v>
      </c>
      <c r="D52" t="s">
        <v>164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12.74</v>
      </c>
      <c r="N52">
        <v>16.62</v>
      </c>
      <c r="O52">
        <v>0</v>
      </c>
    </row>
    <row r="53" spans="1:15" ht="15">
      <c r="A53" t="str">
        <f>"0035491212"</f>
        <v>0035491212</v>
      </c>
      <c r="B53" t="s">
        <v>7</v>
      </c>
      <c r="C53" t="str">
        <f t="shared" si="0"/>
        <v>14/01/01</v>
      </c>
      <c r="D53" t="s">
        <v>164</v>
      </c>
      <c r="E53">
        <v>22.72</v>
      </c>
      <c r="F53">
        <v>23.34</v>
      </c>
      <c r="G53">
        <v>26.37</v>
      </c>
      <c r="H53">
        <v>189.21</v>
      </c>
      <c r="I53">
        <v>24.89</v>
      </c>
      <c r="J53">
        <v>24.11</v>
      </c>
      <c r="K53">
        <v>144.14</v>
      </c>
      <c r="L53">
        <v>144.14</v>
      </c>
      <c r="M53">
        <v>21.87</v>
      </c>
      <c r="N53">
        <v>23.43</v>
      </c>
      <c r="O53">
        <v>259.26</v>
      </c>
    </row>
    <row r="54" spans="1:15" ht="15">
      <c r="A54" t="str">
        <f>"0170109112"</f>
        <v>0170109112</v>
      </c>
      <c r="B54" t="s">
        <v>92</v>
      </c>
      <c r="C54" t="str">
        <f t="shared" si="0"/>
        <v>14/01/01</v>
      </c>
      <c r="D54" t="s">
        <v>164</v>
      </c>
      <c r="E54">
        <v>16.07</v>
      </c>
      <c r="F54">
        <v>19.67</v>
      </c>
      <c r="G54">
        <v>27.41</v>
      </c>
      <c r="H54">
        <v>255.62</v>
      </c>
      <c r="I54">
        <v>27.2</v>
      </c>
      <c r="J54">
        <v>25.98</v>
      </c>
      <c r="K54">
        <v>82.49</v>
      </c>
      <c r="L54">
        <v>82.49</v>
      </c>
      <c r="M54">
        <v>15.13</v>
      </c>
      <c r="N54">
        <v>18.67</v>
      </c>
      <c r="O54">
        <v>237.54</v>
      </c>
    </row>
    <row r="55" spans="1:15" ht="15">
      <c r="A55" t="str">
        <f>"0128098213"</f>
        <v>0128098213</v>
      </c>
      <c r="B55" t="s">
        <v>69</v>
      </c>
      <c r="C55" t="str">
        <f t="shared" si="0"/>
        <v>14/01/01</v>
      </c>
      <c r="D55" t="s">
        <v>165</v>
      </c>
      <c r="E55">
        <v>20.82</v>
      </c>
      <c r="F55">
        <v>22.12</v>
      </c>
      <c r="G55">
        <v>25.99</v>
      </c>
      <c r="H55">
        <v>240.68</v>
      </c>
      <c r="I55">
        <v>25.99</v>
      </c>
      <c r="J55">
        <v>25.86</v>
      </c>
      <c r="K55">
        <v>130.61</v>
      </c>
      <c r="L55">
        <v>130.61</v>
      </c>
      <c r="M55">
        <v>22.35</v>
      </c>
      <c r="N55">
        <v>23.93</v>
      </c>
      <c r="O55">
        <v>215.8</v>
      </c>
    </row>
    <row r="56" spans="1:15" ht="15">
      <c r="A56" t="str">
        <f>"0099157513"</f>
        <v>0099157513</v>
      </c>
      <c r="B56" t="s">
        <v>52</v>
      </c>
      <c r="C56" t="str">
        <f t="shared" si="0"/>
        <v>14/01/01</v>
      </c>
      <c r="D56" t="s">
        <v>165</v>
      </c>
      <c r="E56">
        <v>21.89</v>
      </c>
      <c r="F56">
        <v>22.97</v>
      </c>
      <c r="G56">
        <v>23.58</v>
      </c>
      <c r="H56">
        <v>279.87</v>
      </c>
      <c r="I56">
        <v>28.1</v>
      </c>
      <c r="J56">
        <v>29.8</v>
      </c>
      <c r="K56">
        <v>135.45</v>
      </c>
      <c r="L56">
        <v>135.45</v>
      </c>
      <c r="M56">
        <v>19.13</v>
      </c>
      <c r="N56">
        <v>29.35</v>
      </c>
      <c r="O56">
        <v>225.59</v>
      </c>
    </row>
    <row r="57" spans="1:15" ht="15">
      <c r="A57" t="str">
        <f>"0099143313"</f>
        <v>0099143313</v>
      </c>
      <c r="B57" t="s">
        <v>50</v>
      </c>
      <c r="C57" t="str">
        <f t="shared" si="0"/>
        <v>14/01/01</v>
      </c>
      <c r="D57" t="s">
        <v>165</v>
      </c>
      <c r="E57">
        <v>19.07</v>
      </c>
      <c r="F57">
        <v>21.04</v>
      </c>
      <c r="G57">
        <v>22.29</v>
      </c>
      <c r="H57">
        <v>217.94</v>
      </c>
      <c r="I57">
        <v>27.99</v>
      </c>
      <c r="J57">
        <v>25.8</v>
      </c>
      <c r="K57">
        <v>134.32</v>
      </c>
      <c r="L57">
        <v>154.45</v>
      </c>
      <c r="M57">
        <v>17.72</v>
      </c>
      <c r="N57">
        <v>26.04</v>
      </c>
      <c r="O57">
        <v>207.69</v>
      </c>
    </row>
    <row r="58" spans="1:15" ht="15">
      <c r="A58" t="str">
        <f>"0116304213"</f>
        <v>0116304213</v>
      </c>
      <c r="B58" t="s">
        <v>64</v>
      </c>
      <c r="C58" t="str">
        <f t="shared" si="0"/>
        <v>14/01/01</v>
      </c>
      <c r="D58" t="s">
        <v>165</v>
      </c>
      <c r="E58">
        <v>17.18</v>
      </c>
      <c r="F58">
        <v>19.68</v>
      </c>
      <c r="G58">
        <v>18.84</v>
      </c>
      <c r="H58">
        <v>225.97</v>
      </c>
      <c r="I58">
        <v>17.81</v>
      </c>
      <c r="J58">
        <v>18.67</v>
      </c>
      <c r="K58">
        <v>82.14</v>
      </c>
      <c r="L58">
        <v>78.32</v>
      </c>
      <c r="M58">
        <v>17.81</v>
      </c>
      <c r="N58">
        <v>19.37</v>
      </c>
      <c r="O58">
        <v>203.53</v>
      </c>
    </row>
    <row r="59" spans="1:15" ht="15">
      <c r="A59" t="str">
        <f>"0094476113"</f>
        <v>0094476113</v>
      </c>
      <c r="B59" t="s">
        <v>44</v>
      </c>
      <c r="C59" t="str">
        <f t="shared" si="0"/>
        <v>14/01/01</v>
      </c>
      <c r="D59" t="s">
        <v>165</v>
      </c>
      <c r="E59">
        <v>0</v>
      </c>
      <c r="F59">
        <v>20.16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 ht="15">
      <c r="A60" t="str">
        <f>"0324945613"</f>
        <v>0324945613</v>
      </c>
      <c r="B60" t="s">
        <v>149</v>
      </c>
      <c r="C60" t="str">
        <f t="shared" si="0"/>
        <v>14/01/01</v>
      </c>
      <c r="D60" t="s">
        <v>165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16.79</v>
      </c>
      <c r="N60">
        <v>18.74</v>
      </c>
      <c r="O60">
        <v>179.76</v>
      </c>
    </row>
    <row r="61" spans="1:15" ht="15">
      <c r="A61" t="str">
        <f>"0173893013"</f>
        <v>0173893013</v>
      </c>
      <c r="B61" t="s">
        <v>100</v>
      </c>
      <c r="C61" t="str">
        <f t="shared" si="0"/>
        <v>14/01/01</v>
      </c>
      <c r="D61" t="s">
        <v>165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16.47</v>
      </c>
      <c r="N61">
        <v>0</v>
      </c>
      <c r="O61">
        <v>0</v>
      </c>
    </row>
    <row r="62" spans="1:15" ht="15">
      <c r="A62" t="str">
        <f>"0091059013"</f>
        <v>0091059013</v>
      </c>
      <c r="B62" t="s">
        <v>38</v>
      </c>
      <c r="C62" t="str">
        <f t="shared" si="0"/>
        <v>14/01/01</v>
      </c>
      <c r="D62" t="s">
        <v>165</v>
      </c>
      <c r="E62">
        <v>17.98</v>
      </c>
      <c r="F62">
        <v>18.4</v>
      </c>
      <c r="G62">
        <v>23.61</v>
      </c>
      <c r="H62">
        <v>245.8</v>
      </c>
      <c r="I62">
        <v>21.46</v>
      </c>
      <c r="J62">
        <v>22.87</v>
      </c>
      <c r="K62">
        <v>95.47</v>
      </c>
      <c r="L62">
        <v>95.45</v>
      </c>
      <c r="M62">
        <v>18.14</v>
      </c>
      <c r="N62">
        <v>21.16</v>
      </c>
      <c r="O62">
        <v>222.25</v>
      </c>
    </row>
    <row r="63" spans="1:15" ht="15">
      <c r="A63" t="str">
        <f>"0134254313"</f>
        <v>0134254313</v>
      </c>
      <c r="B63" t="s">
        <v>71</v>
      </c>
      <c r="C63" t="str">
        <f t="shared" si="0"/>
        <v>14/01/01</v>
      </c>
      <c r="D63" t="s">
        <v>165</v>
      </c>
      <c r="E63">
        <v>19.4</v>
      </c>
      <c r="F63">
        <v>20.18</v>
      </c>
      <c r="G63">
        <v>19.48</v>
      </c>
      <c r="H63">
        <v>241.82</v>
      </c>
      <c r="I63">
        <v>17.89</v>
      </c>
      <c r="J63">
        <v>18.73</v>
      </c>
      <c r="K63">
        <v>82.47</v>
      </c>
      <c r="L63">
        <v>0</v>
      </c>
      <c r="M63">
        <v>17.64</v>
      </c>
      <c r="N63">
        <v>19.2</v>
      </c>
      <c r="O63">
        <v>216.97</v>
      </c>
    </row>
    <row r="64" spans="1:15" ht="15">
      <c r="A64" t="str">
        <f>"0035491213"</f>
        <v>0035491213</v>
      </c>
      <c r="B64" t="s">
        <v>7</v>
      </c>
      <c r="C64" t="str">
        <f t="shared" si="0"/>
        <v>14/01/01</v>
      </c>
      <c r="D64" t="s">
        <v>165</v>
      </c>
      <c r="E64">
        <v>18.63</v>
      </c>
      <c r="F64">
        <v>19.41</v>
      </c>
      <c r="G64">
        <v>20.52</v>
      </c>
      <c r="H64">
        <v>226.77</v>
      </c>
      <c r="I64">
        <v>23.18</v>
      </c>
      <c r="J64">
        <v>23.5</v>
      </c>
      <c r="K64">
        <v>139.41</v>
      </c>
      <c r="L64">
        <v>107.7</v>
      </c>
      <c r="M64">
        <v>16.36</v>
      </c>
      <c r="N64">
        <v>18.56</v>
      </c>
      <c r="O64">
        <v>198.57</v>
      </c>
    </row>
    <row r="65" spans="1:15" ht="15">
      <c r="A65" t="str">
        <f>"0118018914"</f>
        <v>0118018914</v>
      </c>
      <c r="B65" t="s">
        <v>65</v>
      </c>
      <c r="C65" t="str">
        <f t="shared" si="0"/>
        <v>14/01/01</v>
      </c>
      <c r="D65" t="s">
        <v>187</v>
      </c>
      <c r="E65">
        <v>22.45</v>
      </c>
      <c r="F65">
        <v>23.3</v>
      </c>
      <c r="G65">
        <v>21.42</v>
      </c>
      <c r="H65">
        <v>254.87</v>
      </c>
      <c r="I65">
        <v>21.82</v>
      </c>
      <c r="J65">
        <v>23.67</v>
      </c>
      <c r="K65">
        <v>77.22</v>
      </c>
      <c r="L65">
        <v>0</v>
      </c>
      <c r="M65">
        <v>0</v>
      </c>
      <c r="N65">
        <v>0</v>
      </c>
      <c r="O65">
        <v>0</v>
      </c>
    </row>
    <row r="66" spans="1:15" ht="15">
      <c r="A66" t="str">
        <f>"0084696014"</f>
        <v>0084696014</v>
      </c>
      <c r="B66" t="s">
        <v>30</v>
      </c>
      <c r="C66" t="str">
        <f t="shared" si="0"/>
        <v>14/01/01</v>
      </c>
      <c r="D66" t="s">
        <v>187</v>
      </c>
      <c r="E66">
        <v>16.27</v>
      </c>
      <c r="F66">
        <v>17.57</v>
      </c>
      <c r="G66">
        <v>23.36</v>
      </c>
      <c r="H66">
        <v>281.44</v>
      </c>
      <c r="I66">
        <v>15.95</v>
      </c>
      <c r="J66">
        <v>16.58</v>
      </c>
      <c r="K66">
        <v>121.07</v>
      </c>
      <c r="L66">
        <v>0</v>
      </c>
      <c r="M66">
        <v>21.43</v>
      </c>
      <c r="N66">
        <v>23.74</v>
      </c>
      <c r="O66">
        <v>219.56</v>
      </c>
    </row>
    <row r="67" spans="1:15" ht="15">
      <c r="A67" t="str">
        <f>"0104012414"</f>
        <v>0104012414</v>
      </c>
      <c r="B67" t="s">
        <v>54</v>
      </c>
      <c r="C67" t="str">
        <f t="shared" si="0"/>
        <v>14/01/01</v>
      </c>
      <c r="D67" t="s">
        <v>187</v>
      </c>
      <c r="E67">
        <v>18.18</v>
      </c>
      <c r="F67">
        <v>19.56</v>
      </c>
      <c r="G67">
        <v>23.93</v>
      </c>
      <c r="H67">
        <v>0</v>
      </c>
      <c r="I67">
        <v>22.67</v>
      </c>
      <c r="J67">
        <v>24.5</v>
      </c>
      <c r="K67">
        <v>130.16</v>
      </c>
      <c r="L67">
        <v>0</v>
      </c>
      <c r="M67">
        <v>0</v>
      </c>
      <c r="N67">
        <v>0</v>
      </c>
      <c r="O67">
        <v>0</v>
      </c>
    </row>
    <row r="68" spans="1:15" ht="15">
      <c r="A68" t="str">
        <f>"0199214914"</f>
        <v>0199214914</v>
      </c>
      <c r="B68" t="s">
        <v>118</v>
      </c>
      <c r="C68" t="str">
        <f t="shared" si="0"/>
        <v>14/01/01</v>
      </c>
      <c r="D68" t="s">
        <v>187</v>
      </c>
      <c r="E68">
        <v>19.24</v>
      </c>
      <c r="F68">
        <v>20.05</v>
      </c>
      <c r="G68">
        <v>0</v>
      </c>
      <c r="H68">
        <v>0</v>
      </c>
      <c r="I68">
        <v>19.27</v>
      </c>
      <c r="J68">
        <v>20.05</v>
      </c>
      <c r="K68">
        <v>99.02</v>
      </c>
      <c r="L68">
        <v>0</v>
      </c>
      <c r="M68">
        <v>0</v>
      </c>
      <c r="N68">
        <v>0</v>
      </c>
      <c r="O68">
        <v>0</v>
      </c>
    </row>
    <row r="69" spans="1:15" ht="15">
      <c r="A69" t="str">
        <f>"0080671714"</f>
        <v>0080671714</v>
      </c>
      <c r="B69" t="s">
        <v>25</v>
      </c>
      <c r="C69" t="str">
        <f t="shared" si="0"/>
        <v>14/01/01</v>
      </c>
      <c r="D69" t="s">
        <v>187</v>
      </c>
      <c r="E69">
        <v>18.75</v>
      </c>
      <c r="F69">
        <v>19.53</v>
      </c>
      <c r="G69">
        <v>0</v>
      </c>
      <c r="H69">
        <v>0</v>
      </c>
      <c r="I69">
        <v>18.79</v>
      </c>
      <c r="J69">
        <v>19.64</v>
      </c>
      <c r="K69">
        <v>81.97</v>
      </c>
      <c r="L69">
        <v>0</v>
      </c>
      <c r="M69">
        <v>0</v>
      </c>
      <c r="N69">
        <v>0</v>
      </c>
      <c r="O69">
        <v>0</v>
      </c>
    </row>
    <row r="70" spans="1:15" ht="15">
      <c r="A70" t="str">
        <f>"0197888514"</f>
        <v>0197888514</v>
      </c>
      <c r="B70" t="s">
        <v>117</v>
      </c>
      <c r="C70" t="str">
        <f t="shared" si="0"/>
        <v>14/01/01</v>
      </c>
      <c r="D70" t="s">
        <v>187</v>
      </c>
      <c r="E70">
        <v>0</v>
      </c>
      <c r="F70">
        <v>0</v>
      </c>
      <c r="G70">
        <v>0</v>
      </c>
      <c r="H70">
        <v>0</v>
      </c>
      <c r="I70">
        <v>20.99</v>
      </c>
      <c r="J70">
        <v>21.84</v>
      </c>
      <c r="K70">
        <v>69.41</v>
      </c>
      <c r="L70">
        <v>0</v>
      </c>
      <c r="M70">
        <v>0</v>
      </c>
      <c r="N70">
        <v>0</v>
      </c>
      <c r="O70">
        <v>0</v>
      </c>
    </row>
    <row r="71" spans="1:15" ht="15">
      <c r="A71" t="str">
        <f>"0088797614"</f>
        <v>0088797614</v>
      </c>
      <c r="B71" t="s">
        <v>32</v>
      </c>
      <c r="C71" t="str">
        <f aca="true" t="shared" si="1" ref="C71:C134">"14/01/01"</f>
        <v>14/01/01</v>
      </c>
      <c r="D71" t="s">
        <v>187</v>
      </c>
      <c r="E71">
        <v>21.86</v>
      </c>
      <c r="F71">
        <v>21.94</v>
      </c>
      <c r="G71">
        <v>21.95</v>
      </c>
      <c r="H71">
        <v>0</v>
      </c>
      <c r="I71">
        <v>21.82</v>
      </c>
      <c r="J71">
        <v>21.95</v>
      </c>
      <c r="K71">
        <v>0</v>
      </c>
      <c r="L71">
        <v>58.34</v>
      </c>
      <c r="M71">
        <v>0</v>
      </c>
      <c r="N71">
        <v>0</v>
      </c>
      <c r="O71">
        <v>0</v>
      </c>
    </row>
    <row r="72" spans="1:15" ht="15">
      <c r="A72" t="str">
        <f>"0104801714"</f>
        <v>0104801714</v>
      </c>
      <c r="B72" t="s">
        <v>55</v>
      </c>
      <c r="C72" t="str">
        <f t="shared" si="1"/>
        <v>14/01/01</v>
      </c>
      <c r="D72" t="s">
        <v>187</v>
      </c>
      <c r="E72">
        <v>16.75</v>
      </c>
      <c r="F72">
        <v>17.52</v>
      </c>
      <c r="G72">
        <v>21.58</v>
      </c>
      <c r="H72">
        <v>203.22</v>
      </c>
      <c r="I72">
        <v>16.78</v>
      </c>
      <c r="J72">
        <v>17.63</v>
      </c>
      <c r="K72">
        <v>49.57</v>
      </c>
      <c r="L72">
        <v>0</v>
      </c>
      <c r="M72">
        <v>16.69</v>
      </c>
      <c r="N72">
        <v>18.25</v>
      </c>
      <c r="O72">
        <v>0</v>
      </c>
    </row>
    <row r="73" spans="1:15" ht="15">
      <c r="A73" t="str">
        <f>"0081106914"</f>
        <v>0081106914</v>
      </c>
      <c r="B73" t="s">
        <v>28</v>
      </c>
      <c r="C73" t="str">
        <f t="shared" si="1"/>
        <v>14/01/01</v>
      </c>
      <c r="D73" t="s">
        <v>187</v>
      </c>
      <c r="E73">
        <v>19.43</v>
      </c>
      <c r="F73">
        <v>20.48</v>
      </c>
      <c r="G73">
        <v>22.97</v>
      </c>
      <c r="H73">
        <v>241.06</v>
      </c>
      <c r="I73">
        <v>19.77</v>
      </c>
      <c r="J73">
        <v>20.37</v>
      </c>
      <c r="K73">
        <v>78.19</v>
      </c>
      <c r="L73">
        <v>95.45</v>
      </c>
      <c r="M73">
        <v>18.54</v>
      </c>
      <c r="N73">
        <v>21.01</v>
      </c>
      <c r="O73">
        <v>219.57</v>
      </c>
    </row>
    <row r="74" spans="1:15" ht="15">
      <c r="A74" t="str">
        <f>"0240778914"</f>
        <v>0240778914</v>
      </c>
      <c r="B74" t="s">
        <v>132</v>
      </c>
      <c r="C74" t="str">
        <f t="shared" si="1"/>
        <v>14/01/01</v>
      </c>
      <c r="D74" t="s">
        <v>187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16.13</v>
      </c>
      <c r="N74">
        <v>0</v>
      </c>
      <c r="O74">
        <v>0</v>
      </c>
    </row>
    <row r="75" spans="1:15" ht="15">
      <c r="A75" t="str">
        <f>"0179301715"</f>
        <v>0179301715</v>
      </c>
      <c r="B75" t="s">
        <v>108</v>
      </c>
      <c r="C75" t="str">
        <f t="shared" si="1"/>
        <v>14/01/01</v>
      </c>
      <c r="D75" t="s">
        <v>197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13.97</v>
      </c>
      <c r="N75">
        <v>18.64</v>
      </c>
      <c r="O75">
        <v>0</v>
      </c>
    </row>
    <row r="76" spans="1:15" ht="15">
      <c r="A76" t="str">
        <f>"0089173615"</f>
        <v>0089173615</v>
      </c>
      <c r="B76" t="s">
        <v>33</v>
      </c>
      <c r="C76" t="str">
        <f t="shared" si="1"/>
        <v>14/01/01</v>
      </c>
      <c r="D76" t="s">
        <v>197</v>
      </c>
      <c r="E76">
        <v>21.46</v>
      </c>
      <c r="F76">
        <v>21.76</v>
      </c>
      <c r="G76">
        <v>0</v>
      </c>
      <c r="H76">
        <v>0</v>
      </c>
      <c r="I76">
        <v>22.99</v>
      </c>
      <c r="J76">
        <v>22.21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1:15" ht="15">
      <c r="A77" t="str">
        <f>"0080671716"</f>
        <v>0080671716</v>
      </c>
      <c r="B77" t="s">
        <v>25</v>
      </c>
      <c r="C77" t="str">
        <f t="shared" si="1"/>
        <v>14/01/01</v>
      </c>
      <c r="D77" t="s">
        <v>188</v>
      </c>
      <c r="E77">
        <v>20.46</v>
      </c>
      <c r="F77">
        <v>20.76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1:15" ht="15">
      <c r="A78" t="str">
        <f>"0089173616"</f>
        <v>0089173616</v>
      </c>
      <c r="B78" t="s">
        <v>33</v>
      </c>
      <c r="C78" t="str">
        <f t="shared" si="1"/>
        <v>14/01/01</v>
      </c>
      <c r="D78" t="s">
        <v>188</v>
      </c>
      <c r="E78">
        <v>21.46</v>
      </c>
      <c r="F78">
        <v>21.76</v>
      </c>
      <c r="G78">
        <v>23.15</v>
      </c>
      <c r="H78">
        <v>0</v>
      </c>
      <c r="I78">
        <v>22.99</v>
      </c>
      <c r="J78">
        <v>22.21</v>
      </c>
      <c r="K78">
        <v>0</v>
      </c>
      <c r="L78">
        <v>0</v>
      </c>
      <c r="M78">
        <v>18.19</v>
      </c>
      <c r="N78">
        <v>0</v>
      </c>
      <c r="O78">
        <v>0</v>
      </c>
    </row>
    <row r="79" spans="1:15" ht="15">
      <c r="A79" t="str">
        <f>"0174106016"</f>
        <v>0174106016</v>
      </c>
      <c r="B79" t="s">
        <v>103</v>
      </c>
      <c r="C79" t="str">
        <f t="shared" si="1"/>
        <v>14/01/01</v>
      </c>
      <c r="D79" t="s">
        <v>188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14.54</v>
      </c>
      <c r="N79">
        <v>0</v>
      </c>
      <c r="O79">
        <v>0</v>
      </c>
    </row>
    <row r="80" spans="1:15" ht="15">
      <c r="A80" t="str">
        <f>"0240778916"</f>
        <v>0240778916</v>
      </c>
      <c r="B80" t="s">
        <v>133</v>
      </c>
      <c r="C80" t="str">
        <f t="shared" si="1"/>
        <v>14/01/01</v>
      </c>
      <c r="D80" t="s">
        <v>188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15.92</v>
      </c>
      <c r="N80">
        <v>0</v>
      </c>
      <c r="O80">
        <v>0</v>
      </c>
    </row>
    <row r="81" spans="1:15" ht="15">
      <c r="A81" t="str">
        <f>"0352135917"</f>
        <v>0352135917</v>
      </c>
      <c r="B81" t="s">
        <v>158</v>
      </c>
      <c r="C81" t="str">
        <f t="shared" si="1"/>
        <v>14/01/01</v>
      </c>
      <c r="D81" t="s">
        <v>203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19.22</v>
      </c>
      <c r="N81">
        <v>0</v>
      </c>
      <c r="O81">
        <v>0</v>
      </c>
    </row>
    <row r="82" spans="1:15" ht="15">
      <c r="A82" t="str">
        <f>"0097412117"</f>
        <v>0097412117</v>
      </c>
      <c r="B82" t="s">
        <v>47</v>
      </c>
      <c r="C82" t="str">
        <f t="shared" si="1"/>
        <v>14/01/01</v>
      </c>
      <c r="D82" t="s">
        <v>203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16.68</v>
      </c>
      <c r="N82">
        <v>18.53</v>
      </c>
      <c r="O82">
        <v>0</v>
      </c>
    </row>
    <row r="83" spans="1:15" ht="15">
      <c r="A83" t="str">
        <f>"0170109117"</f>
        <v>0170109117</v>
      </c>
      <c r="B83" t="s">
        <v>92</v>
      </c>
      <c r="C83" t="str">
        <f t="shared" si="1"/>
        <v>14/01/01</v>
      </c>
      <c r="D83" t="s">
        <v>203</v>
      </c>
      <c r="E83">
        <v>20.25</v>
      </c>
      <c r="F83">
        <v>20.11</v>
      </c>
      <c r="G83">
        <v>27.76</v>
      </c>
      <c r="H83">
        <v>296.26</v>
      </c>
      <c r="I83">
        <v>27.42</v>
      </c>
      <c r="J83">
        <v>26.72</v>
      </c>
      <c r="K83">
        <v>83</v>
      </c>
      <c r="L83">
        <v>83</v>
      </c>
      <c r="M83">
        <v>17.85</v>
      </c>
      <c r="N83">
        <v>18.43</v>
      </c>
      <c r="O83">
        <v>236.69</v>
      </c>
    </row>
    <row r="84" spans="1:15" ht="15">
      <c r="A84" t="str">
        <f>"0194568818"</f>
        <v>0194568818</v>
      </c>
      <c r="B84" t="s">
        <v>116</v>
      </c>
      <c r="C84" t="str">
        <f t="shared" si="1"/>
        <v>14/01/01</v>
      </c>
      <c r="D84" t="s">
        <v>166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16.99</v>
      </c>
      <c r="N84">
        <v>19.18</v>
      </c>
      <c r="O84">
        <v>0</v>
      </c>
    </row>
    <row r="85" spans="1:15" ht="15">
      <c r="A85" t="str">
        <f>"0090452718"</f>
        <v>0090452718</v>
      </c>
      <c r="B85" t="s">
        <v>35</v>
      </c>
      <c r="C85" t="str">
        <f t="shared" si="1"/>
        <v>14/01/01</v>
      </c>
      <c r="D85" t="s">
        <v>166</v>
      </c>
      <c r="E85">
        <v>0</v>
      </c>
      <c r="F85">
        <v>23.94</v>
      </c>
      <c r="G85">
        <v>0</v>
      </c>
      <c r="H85">
        <v>0</v>
      </c>
      <c r="I85">
        <v>0</v>
      </c>
      <c r="J85">
        <v>0</v>
      </c>
      <c r="K85">
        <v>82.99</v>
      </c>
      <c r="L85">
        <v>82.99</v>
      </c>
      <c r="M85">
        <v>0</v>
      </c>
      <c r="N85">
        <v>0</v>
      </c>
      <c r="O85">
        <v>0</v>
      </c>
    </row>
    <row r="86" spans="1:15" ht="15">
      <c r="A86" t="str">
        <f>"0035491218"</f>
        <v>0035491218</v>
      </c>
      <c r="B86" t="s">
        <v>7</v>
      </c>
      <c r="C86" t="str">
        <f t="shared" si="1"/>
        <v>14/01/01</v>
      </c>
      <c r="D86" t="s">
        <v>166</v>
      </c>
      <c r="E86">
        <v>26.25</v>
      </c>
      <c r="F86">
        <v>29.26</v>
      </c>
      <c r="G86">
        <v>30.42</v>
      </c>
      <c r="H86">
        <v>275.81</v>
      </c>
      <c r="I86">
        <v>28.39</v>
      </c>
      <c r="J86">
        <v>27.54</v>
      </c>
      <c r="K86">
        <v>152.87</v>
      </c>
      <c r="L86">
        <v>152.87</v>
      </c>
      <c r="M86">
        <v>27.9</v>
      </c>
      <c r="N86">
        <v>30.78</v>
      </c>
      <c r="O86">
        <v>329.87</v>
      </c>
    </row>
    <row r="87" spans="1:15" ht="15">
      <c r="A87" t="str">
        <f>"0081106918"</f>
        <v>0081106918</v>
      </c>
      <c r="B87" t="s">
        <v>28</v>
      </c>
      <c r="C87" t="str">
        <f t="shared" si="1"/>
        <v>14/01/01</v>
      </c>
      <c r="D87" t="s">
        <v>166</v>
      </c>
      <c r="E87">
        <v>21.38</v>
      </c>
      <c r="F87">
        <v>21.1</v>
      </c>
      <c r="G87">
        <v>24.4</v>
      </c>
      <c r="H87">
        <v>264.33</v>
      </c>
      <c r="I87">
        <v>23.89</v>
      </c>
      <c r="J87">
        <v>23.21</v>
      </c>
      <c r="K87">
        <v>78.16</v>
      </c>
      <c r="L87">
        <v>95.39</v>
      </c>
      <c r="M87">
        <v>18.53</v>
      </c>
      <c r="N87">
        <v>21</v>
      </c>
      <c r="O87">
        <v>219.5</v>
      </c>
    </row>
    <row r="88" spans="1:15" ht="15">
      <c r="A88" t="str">
        <f>"0256956019"</f>
        <v>0256956019</v>
      </c>
      <c r="B88" t="s">
        <v>136</v>
      </c>
      <c r="C88" t="str">
        <f t="shared" si="1"/>
        <v>14/01/01</v>
      </c>
      <c r="D88" t="s">
        <v>167</v>
      </c>
      <c r="E88">
        <v>0</v>
      </c>
      <c r="F88">
        <v>21.97</v>
      </c>
      <c r="G88">
        <v>24.78</v>
      </c>
      <c r="H88">
        <v>0</v>
      </c>
      <c r="I88">
        <v>0</v>
      </c>
      <c r="J88">
        <v>0</v>
      </c>
      <c r="K88">
        <v>82.49</v>
      </c>
      <c r="L88">
        <v>82.49</v>
      </c>
      <c r="M88">
        <v>0</v>
      </c>
      <c r="N88">
        <v>0</v>
      </c>
      <c r="O88">
        <v>0</v>
      </c>
    </row>
    <row r="89" spans="1:15" ht="15">
      <c r="A89" t="str">
        <f>"0099143319"</f>
        <v>0099143319</v>
      </c>
      <c r="B89" t="s">
        <v>50</v>
      </c>
      <c r="C89" t="str">
        <f t="shared" si="1"/>
        <v>14/01/01</v>
      </c>
      <c r="D89" t="s">
        <v>167</v>
      </c>
      <c r="E89">
        <v>23.34</v>
      </c>
      <c r="F89">
        <v>23.34</v>
      </c>
      <c r="G89">
        <v>28.63</v>
      </c>
      <c r="H89">
        <v>274.49</v>
      </c>
      <c r="I89">
        <v>30.21</v>
      </c>
      <c r="J89">
        <v>26.4</v>
      </c>
      <c r="K89">
        <v>76.74</v>
      </c>
      <c r="L89">
        <v>76.91</v>
      </c>
      <c r="M89">
        <v>25.93</v>
      </c>
      <c r="N89">
        <v>25.32</v>
      </c>
      <c r="O89">
        <v>287.03</v>
      </c>
    </row>
    <row r="90" spans="1:15" ht="15">
      <c r="A90" t="str">
        <f>"0188056019"</f>
        <v>0188056019</v>
      </c>
      <c r="B90" t="s">
        <v>115</v>
      </c>
      <c r="C90" t="str">
        <f t="shared" si="1"/>
        <v>14/01/01</v>
      </c>
      <c r="D90" t="s">
        <v>167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16.67</v>
      </c>
      <c r="N90">
        <v>17.99</v>
      </c>
      <c r="O90">
        <v>202.69</v>
      </c>
    </row>
    <row r="91" spans="1:15" ht="15">
      <c r="A91" t="str">
        <f>"0035491219"</f>
        <v>0035491219</v>
      </c>
      <c r="B91" t="s">
        <v>7</v>
      </c>
      <c r="C91" t="str">
        <f t="shared" si="1"/>
        <v>14/01/01</v>
      </c>
      <c r="D91" t="s">
        <v>167</v>
      </c>
      <c r="E91">
        <v>24.1</v>
      </c>
      <c r="F91">
        <v>23.55</v>
      </c>
      <c r="G91">
        <v>28.09</v>
      </c>
      <c r="H91">
        <v>268.49</v>
      </c>
      <c r="I91">
        <v>26.76</v>
      </c>
      <c r="J91">
        <v>25.62</v>
      </c>
      <c r="K91">
        <v>163.46</v>
      </c>
      <c r="L91">
        <v>163.46</v>
      </c>
      <c r="M91">
        <v>17.44</v>
      </c>
      <c r="N91">
        <v>25.75</v>
      </c>
      <c r="O91">
        <v>267.19</v>
      </c>
    </row>
    <row r="92" spans="1:15" ht="15">
      <c r="A92" t="str">
        <f>"0170109119"</f>
        <v>0170109119</v>
      </c>
      <c r="B92" t="s">
        <v>92</v>
      </c>
      <c r="C92" t="str">
        <f t="shared" si="1"/>
        <v>14/01/01</v>
      </c>
      <c r="D92" t="s">
        <v>167</v>
      </c>
      <c r="E92">
        <v>18.34</v>
      </c>
      <c r="F92">
        <v>20.23</v>
      </c>
      <c r="G92">
        <v>27.41</v>
      </c>
      <c r="H92">
        <v>255.62</v>
      </c>
      <c r="I92">
        <v>27.2</v>
      </c>
      <c r="J92">
        <v>26.57</v>
      </c>
      <c r="K92">
        <v>82.49</v>
      </c>
      <c r="L92">
        <v>82.49</v>
      </c>
      <c r="M92">
        <v>17.9</v>
      </c>
      <c r="N92">
        <v>18.5</v>
      </c>
      <c r="O92">
        <v>236.69</v>
      </c>
    </row>
    <row r="93" spans="1:15" ht="15">
      <c r="A93" t="str">
        <f>"0089174520"</f>
        <v>0089174520</v>
      </c>
      <c r="B93" t="s">
        <v>34</v>
      </c>
      <c r="C93" t="str">
        <f t="shared" si="1"/>
        <v>14/01/01</v>
      </c>
      <c r="D93" t="s">
        <v>198</v>
      </c>
      <c r="E93">
        <v>25.4</v>
      </c>
      <c r="F93">
        <v>25.69</v>
      </c>
      <c r="G93">
        <v>0</v>
      </c>
      <c r="H93">
        <v>0</v>
      </c>
      <c r="I93">
        <v>0</v>
      </c>
      <c r="J93">
        <v>0</v>
      </c>
      <c r="K93">
        <v>0</v>
      </c>
      <c r="L93">
        <v>34.51</v>
      </c>
      <c r="M93">
        <v>0</v>
      </c>
      <c r="N93">
        <v>0</v>
      </c>
      <c r="O93">
        <v>0</v>
      </c>
    </row>
    <row r="94" spans="1:15" ht="15">
      <c r="A94" t="str">
        <f>"0281324321"</f>
        <v>0281324321</v>
      </c>
      <c r="B94" t="s">
        <v>138</v>
      </c>
      <c r="C94" t="str">
        <f t="shared" si="1"/>
        <v>14/01/01</v>
      </c>
      <c r="D94" t="s">
        <v>204</v>
      </c>
      <c r="E94">
        <v>23.45</v>
      </c>
      <c r="F94">
        <v>23.75</v>
      </c>
      <c r="G94">
        <v>0</v>
      </c>
      <c r="H94">
        <v>0</v>
      </c>
      <c r="I94">
        <v>0</v>
      </c>
      <c r="J94">
        <v>0</v>
      </c>
      <c r="K94">
        <v>79.56</v>
      </c>
      <c r="L94">
        <v>79.56</v>
      </c>
      <c r="M94">
        <v>0</v>
      </c>
      <c r="N94">
        <v>0</v>
      </c>
      <c r="O94">
        <v>0</v>
      </c>
    </row>
    <row r="95" spans="1:15" ht="15">
      <c r="A95" t="str">
        <f>"0097412121"</f>
        <v>0097412121</v>
      </c>
      <c r="B95" t="s">
        <v>47</v>
      </c>
      <c r="C95" t="str">
        <f t="shared" si="1"/>
        <v>14/01/01</v>
      </c>
      <c r="D95" t="s">
        <v>204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13.71</v>
      </c>
      <c r="N95">
        <v>16.7</v>
      </c>
      <c r="O95">
        <v>0</v>
      </c>
    </row>
    <row r="96" spans="1:15" ht="15">
      <c r="A96" t="str">
        <f>"0121121021"</f>
        <v>0121121021</v>
      </c>
      <c r="B96" t="s">
        <v>67</v>
      </c>
      <c r="C96" t="str">
        <f t="shared" si="1"/>
        <v>14/01/01</v>
      </c>
      <c r="D96" t="s">
        <v>204</v>
      </c>
      <c r="E96">
        <v>0</v>
      </c>
      <c r="F96">
        <v>18.85</v>
      </c>
      <c r="G96">
        <v>0</v>
      </c>
      <c r="H96">
        <v>0</v>
      </c>
      <c r="I96">
        <v>0</v>
      </c>
      <c r="J96">
        <v>0</v>
      </c>
      <c r="K96">
        <v>76.42</v>
      </c>
      <c r="L96">
        <v>0</v>
      </c>
      <c r="M96">
        <v>0</v>
      </c>
      <c r="N96">
        <v>0</v>
      </c>
      <c r="O96">
        <v>0</v>
      </c>
    </row>
    <row r="97" spans="1:15" ht="15">
      <c r="A97" t="str">
        <f>"0147051122"</f>
        <v>0147051122</v>
      </c>
      <c r="B97" t="s">
        <v>80</v>
      </c>
      <c r="C97" t="str">
        <f t="shared" si="1"/>
        <v>14/01/01</v>
      </c>
      <c r="D97" t="s">
        <v>189</v>
      </c>
      <c r="E97">
        <v>29.52</v>
      </c>
      <c r="F97">
        <v>30.12</v>
      </c>
      <c r="G97">
        <v>33</v>
      </c>
      <c r="H97">
        <v>0</v>
      </c>
      <c r="I97">
        <v>32.58</v>
      </c>
      <c r="J97">
        <v>31.02</v>
      </c>
      <c r="K97">
        <v>114.31</v>
      </c>
      <c r="L97">
        <v>114.31</v>
      </c>
      <c r="M97">
        <v>0</v>
      </c>
      <c r="N97">
        <v>0</v>
      </c>
      <c r="O97">
        <v>0</v>
      </c>
    </row>
    <row r="98" spans="1:15" ht="15">
      <c r="A98" t="str">
        <f>"0080671722"</f>
        <v>0080671722</v>
      </c>
      <c r="B98" t="s">
        <v>25</v>
      </c>
      <c r="C98" t="str">
        <f t="shared" si="1"/>
        <v>14/01/01</v>
      </c>
      <c r="D98" t="s">
        <v>189</v>
      </c>
      <c r="E98">
        <v>19.78</v>
      </c>
      <c r="F98">
        <v>20.08</v>
      </c>
      <c r="G98">
        <v>0</v>
      </c>
      <c r="H98">
        <v>0</v>
      </c>
      <c r="I98">
        <v>0</v>
      </c>
      <c r="J98">
        <v>0</v>
      </c>
      <c r="K98">
        <v>75.93</v>
      </c>
      <c r="L98">
        <v>0</v>
      </c>
      <c r="M98">
        <v>0</v>
      </c>
      <c r="N98">
        <v>0</v>
      </c>
      <c r="O98">
        <v>0</v>
      </c>
    </row>
    <row r="99" spans="1:15" ht="15">
      <c r="A99" t="str">
        <f>"0097412122"</f>
        <v>0097412122</v>
      </c>
      <c r="B99" t="s">
        <v>48</v>
      </c>
      <c r="C99" t="str">
        <f t="shared" si="1"/>
        <v>14/01/01</v>
      </c>
      <c r="D99" t="s">
        <v>189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16.39</v>
      </c>
      <c r="N99">
        <v>15.08</v>
      </c>
      <c r="O99">
        <v>0</v>
      </c>
    </row>
    <row r="100" spans="1:15" ht="15">
      <c r="A100" t="str">
        <f>"0105243722"</f>
        <v>0105243722</v>
      </c>
      <c r="B100" t="s">
        <v>56</v>
      </c>
      <c r="C100" t="str">
        <f t="shared" si="1"/>
        <v>14/01/01</v>
      </c>
      <c r="D100" t="s">
        <v>189</v>
      </c>
      <c r="E100">
        <v>25.9</v>
      </c>
      <c r="F100">
        <v>26.41</v>
      </c>
      <c r="G100">
        <v>28.49</v>
      </c>
      <c r="H100">
        <v>272.61</v>
      </c>
      <c r="I100">
        <v>28.27</v>
      </c>
      <c r="J100">
        <v>28.36</v>
      </c>
      <c r="K100">
        <v>132.63</v>
      </c>
      <c r="L100">
        <v>0</v>
      </c>
      <c r="M100">
        <v>26.15</v>
      </c>
      <c r="N100">
        <v>28.36</v>
      </c>
      <c r="O100">
        <v>312.8</v>
      </c>
    </row>
    <row r="101" spans="1:15" ht="15">
      <c r="A101" t="str">
        <f>"0174106022"</f>
        <v>0174106022</v>
      </c>
      <c r="B101" t="s">
        <v>103</v>
      </c>
      <c r="C101" t="str">
        <f t="shared" si="1"/>
        <v>14/01/01</v>
      </c>
      <c r="D101" t="s">
        <v>189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13.65</v>
      </c>
      <c r="N101">
        <v>0</v>
      </c>
      <c r="O101">
        <v>0</v>
      </c>
    </row>
    <row r="102" spans="1:15" ht="15">
      <c r="A102" t="str">
        <f>"0097412124"</f>
        <v>0097412124</v>
      </c>
      <c r="B102" t="s">
        <v>47</v>
      </c>
      <c r="C102" t="str">
        <f t="shared" si="1"/>
        <v>14/01/01</v>
      </c>
      <c r="D102" t="s">
        <v>205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12.83</v>
      </c>
      <c r="N102">
        <v>15.05</v>
      </c>
      <c r="O102">
        <v>0</v>
      </c>
    </row>
    <row r="103" spans="1:15" ht="15">
      <c r="A103" t="str">
        <f>"0194568825"</f>
        <v>0194568825</v>
      </c>
      <c r="B103" t="s">
        <v>116</v>
      </c>
      <c r="C103" t="str">
        <f t="shared" si="1"/>
        <v>14/01/01</v>
      </c>
      <c r="D103" t="s">
        <v>168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14.89</v>
      </c>
      <c r="N103">
        <v>19.18</v>
      </c>
      <c r="O103">
        <v>0</v>
      </c>
    </row>
    <row r="104" spans="1:15" ht="15">
      <c r="A104" t="str">
        <f>"0147051125"</f>
        <v>0147051125</v>
      </c>
      <c r="B104" t="s">
        <v>81</v>
      </c>
      <c r="C104" t="str">
        <f t="shared" si="1"/>
        <v>14/01/01</v>
      </c>
      <c r="D104" t="s">
        <v>168</v>
      </c>
      <c r="E104">
        <v>25.33</v>
      </c>
      <c r="F104">
        <v>25.51</v>
      </c>
      <c r="G104">
        <v>27.98</v>
      </c>
      <c r="H104">
        <v>0</v>
      </c>
      <c r="I104">
        <v>27.77</v>
      </c>
      <c r="J104">
        <v>27.01</v>
      </c>
      <c r="K104">
        <v>114.31</v>
      </c>
      <c r="L104">
        <v>114.31</v>
      </c>
      <c r="M104">
        <v>0</v>
      </c>
      <c r="N104">
        <v>0</v>
      </c>
      <c r="O104">
        <v>0</v>
      </c>
    </row>
    <row r="105" spans="1:15" ht="15">
      <c r="A105" t="str">
        <f>"0035491225"</f>
        <v>0035491225</v>
      </c>
      <c r="B105" t="s">
        <v>7</v>
      </c>
      <c r="C105" t="str">
        <f t="shared" si="1"/>
        <v>14/01/01</v>
      </c>
      <c r="D105" t="s">
        <v>168</v>
      </c>
      <c r="E105">
        <v>25.14</v>
      </c>
      <c r="F105">
        <v>25.24</v>
      </c>
      <c r="G105">
        <v>28.87</v>
      </c>
      <c r="H105">
        <v>276.12</v>
      </c>
      <c r="I105">
        <v>27.14</v>
      </c>
      <c r="J105">
        <v>26.36</v>
      </c>
      <c r="K105">
        <v>112.24</v>
      </c>
      <c r="L105">
        <v>160.58</v>
      </c>
      <c r="M105">
        <v>23.1</v>
      </c>
      <c r="N105">
        <v>25.48</v>
      </c>
      <c r="O105">
        <v>273.67</v>
      </c>
    </row>
    <row r="106" spans="1:15" ht="15">
      <c r="A106" t="str">
        <f>"0058802326"</f>
        <v>0058802326</v>
      </c>
      <c r="B106" t="s">
        <v>19</v>
      </c>
      <c r="C106" t="str">
        <f t="shared" si="1"/>
        <v>14/01/01</v>
      </c>
      <c r="D106" t="s">
        <v>181</v>
      </c>
      <c r="E106">
        <v>21.62</v>
      </c>
      <c r="F106">
        <v>21.62</v>
      </c>
      <c r="G106">
        <v>0</v>
      </c>
      <c r="H106">
        <v>0</v>
      </c>
      <c r="I106">
        <v>0</v>
      </c>
      <c r="J106">
        <v>0</v>
      </c>
      <c r="K106">
        <v>130.53</v>
      </c>
      <c r="L106">
        <v>130.83</v>
      </c>
      <c r="M106">
        <v>0</v>
      </c>
      <c r="N106">
        <v>0</v>
      </c>
      <c r="O106">
        <v>0</v>
      </c>
    </row>
    <row r="107" spans="1:15" ht="15">
      <c r="A107" t="str">
        <f>"0097412126"</f>
        <v>0097412126</v>
      </c>
      <c r="B107" t="s">
        <v>47</v>
      </c>
      <c r="C107" t="str">
        <f t="shared" si="1"/>
        <v>14/01/01</v>
      </c>
      <c r="D107" t="s">
        <v>181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12.25</v>
      </c>
      <c r="N107">
        <v>15.46</v>
      </c>
      <c r="O107">
        <v>0</v>
      </c>
    </row>
    <row r="108" spans="1:15" ht="15">
      <c r="A108" t="str">
        <f>"0302858027"</f>
        <v>0302858027</v>
      </c>
      <c r="B108" t="s">
        <v>145</v>
      </c>
      <c r="C108" t="str">
        <f t="shared" si="1"/>
        <v>14/01/01</v>
      </c>
      <c r="D108" t="s">
        <v>169</v>
      </c>
      <c r="E108">
        <v>22.12</v>
      </c>
      <c r="F108">
        <v>22.88</v>
      </c>
      <c r="G108">
        <v>0</v>
      </c>
      <c r="H108">
        <v>0</v>
      </c>
      <c r="I108">
        <v>0</v>
      </c>
      <c r="J108">
        <v>0</v>
      </c>
      <c r="K108">
        <v>136.5</v>
      </c>
      <c r="L108">
        <v>136.56</v>
      </c>
      <c r="M108">
        <v>0</v>
      </c>
      <c r="N108">
        <v>0</v>
      </c>
      <c r="O108">
        <v>0</v>
      </c>
    </row>
    <row r="109" spans="1:15" ht="15">
      <c r="A109" t="str">
        <f>"0084696027"</f>
        <v>0084696027</v>
      </c>
      <c r="B109" t="s">
        <v>30</v>
      </c>
      <c r="C109" t="str">
        <f t="shared" si="1"/>
        <v>14/01/01</v>
      </c>
      <c r="D109" t="s">
        <v>169</v>
      </c>
      <c r="E109">
        <v>13.41</v>
      </c>
      <c r="F109">
        <v>13.44</v>
      </c>
      <c r="G109">
        <v>31.28</v>
      </c>
      <c r="H109">
        <v>259.9</v>
      </c>
      <c r="I109">
        <v>16.27</v>
      </c>
      <c r="J109">
        <v>23.62</v>
      </c>
      <c r="K109">
        <v>0</v>
      </c>
      <c r="L109">
        <v>0</v>
      </c>
      <c r="M109">
        <v>14.87</v>
      </c>
      <c r="N109">
        <v>23.68</v>
      </c>
      <c r="O109">
        <v>211.65</v>
      </c>
    </row>
    <row r="110" spans="1:15" ht="15">
      <c r="A110" t="str">
        <f>"0194568827"</f>
        <v>0194568827</v>
      </c>
      <c r="B110" t="s">
        <v>116</v>
      </c>
      <c r="C110" t="str">
        <f t="shared" si="1"/>
        <v>14/01/01</v>
      </c>
      <c r="D110" t="s">
        <v>169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15.56</v>
      </c>
      <c r="N110">
        <v>19.18</v>
      </c>
      <c r="O110">
        <v>0</v>
      </c>
    </row>
    <row r="111" spans="1:15" ht="15">
      <c r="A111" t="str">
        <f>"0147051127"</f>
        <v>0147051127</v>
      </c>
      <c r="B111" t="s">
        <v>81</v>
      </c>
      <c r="C111" t="str">
        <f t="shared" si="1"/>
        <v>14/01/01</v>
      </c>
      <c r="D111" t="s">
        <v>169</v>
      </c>
      <c r="E111">
        <v>24.89</v>
      </c>
      <c r="F111">
        <v>25.25</v>
      </c>
      <c r="G111">
        <v>27.12</v>
      </c>
      <c r="H111">
        <v>0</v>
      </c>
      <c r="I111">
        <v>25.53</v>
      </c>
      <c r="J111">
        <v>26.39</v>
      </c>
      <c r="K111">
        <v>109.05</v>
      </c>
      <c r="L111">
        <v>109.05</v>
      </c>
      <c r="M111">
        <v>0</v>
      </c>
      <c r="N111">
        <v>0</v>
      </c>
      <c r="O111">
        <v>0</v>
      </c>
    </row>
    <row r="112" spans="1:15" ht="15">
      <c r="A112" t="str">
        <f>"0048715027"</f>
        <v>0048715027</v>
      </c>
      <c r="B112" t="s">
        <v>12</v>
      </c>
      <c r="C112" t="str">
        <f t="shared" si="1"/>
        <v>14/01/01</v>
      </c>
      <c r="D112" t="s">
        <v>169</v>
      </c>
      <c r="E112">
        <v>0</v>
      </c>
      <c r="F112">
        <v>27.63</v>
      </c>
      <c r="G112">
        <v>0</v>
      </c>
      <c r="H112">
        <v>0</v>
      </c>
      <c r="I112">
        <v>0</v>
      </c>
      <c r="J112">
        <v>0</v>
      </c>
      <c r="K112">
        <v>99.63</v>
      </c>
      <c r="L112">
        <v>0</v>
      </c>
      <c r="M112">
        <v>0</v>
      </c>
      <c r="N112">
        <v>0</v>
      </c>
      <c r="O112">
        <v>0</v>
      </c>
    </row>
    <row r="113" spans="1:15" ht="15">
      <c r="A113" t="str">
        <f>"0308179827"</f>
        <v>0308179827</v>
      </c>
      <c r="B113" t="s">
        <v>148</v>
      </c>
      <c r="C113" t="str">
        <f t="shared" si="1"/>
        <v>14/01/01</v>
      </c>
      <c r="D113" t="s">
        <v>169</v>
      </c>
      <c r="E113">
        <v>19.59</v>
      </c>
      <c r="F113">
        <v>19.61</v>
      </c>
      <c r="G113">
        <v>27.77</v>
      </c>
      <c r="H113">
        <v>293.12</v>
      </c>
      <c r="I113">
        <v>24.64</v>
      </c>
      <c r="J113">
        <v>25.49</v>
      </c>
      <c r="K113">
        <v>129.49</v>
      </c>
      <c r="L113">
        <v>129.49</v>
      </c>
      <c r="M113">
        <v>17.52</v>
      </c>
      <c r="N113">
        <v>26.41</v>
      </c>
      <c r="O113">
        <v>276.33</v>
      </c>
    </row>
    <row r="114" spans="1:15" ht="15">
      <c r="A114" t="str">
        <f>"0231917527"</f>
        <v>0231917527</v>
      </c>
      <c r="B114" t="s">
        <v>130</v>
      </c>
      <c r="C114" t="str">
        <f t="shared" si="1"/>
        <v>14/01/01</v>
      </c>
      <c r="D114" t="s">
        <v>169</v>
      </c>
      <c r="E114">
        <v>16.54</v>
      </c>
      <c r="F114">
        <v>17.3</v>
      </c>
      <c r="G114">
        <v>0</v>
      </c>
      <c r="H114">
        <v>174.94</v>
      </c>
      <c r="I114">
        <v>0</v>
      </c>
      <c r="J114">
        <v>0</v>
      </c>
      <c r="K114">
        <v>67.23</v>
      </c>
      <c r="L114">
        <v>0</v>
      </c>
      <c r="M114">
        <v>16.04</v>
      </c>
      <c r="N114">
        <v>17.49</v>
      </c>
      <c r="O114">
        <v>174.98</v>
      </c>
    </row>
    <row r="115" spans="1:15" ht="15">
      <c r="A115" t="str">
        <f>"0301683727"</f>
        <v>0301683727</v>
      </c>
      <c r="B115" t="s">
        <v>144</v>
      </c>
      <c r="C115" t="str">
        <f t="shared" si="1"/>
        <v>14/01/01</v>
      </c>
      <c r="D115" t="s">
        <v>169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109.4</v>
      </c>
      <c r="L115">
        <v>0</v>
      </c>
      <c r="M115">
        <v>16.23</v>
      </c>
      <c r="N115">
        <v>20.71</v>
      </c>
      <c r="O115">
        <v>240.83</v>
      </c>
    </row>
    <row r="116" spans="1:15" ht="15">
      <c r="A116" t="str">
        <f>"0293869027"</f>
        <v>0293869027</v>
      </c>
      <c r="B116" t="s">
        <v>139</v>
      </c>
      <c r="C116" t="str">
        <f t="shared" si="1"/>
        <v>14/01/01</v>
      </c>
      <c r="D116" t="s">
        <v>169</v>
      </c>
      <c r="E116">
        <v>20.12</v>
      </c>
      <c r="F116">
        <v>20.89</v>
      </c>
      <c r="G116">
        <v>0</v>
      </c>
      <c r="H116">
        <v>0</v>
      </c>
      <c r="I116">
        <v>0</v>
      </c>
      <c r="J116">
        <v>0</v>
      </c>
      <c r="K116">
        <v>71.14</v>
      </c>
      <c r="L116">
        <v>71.22</v>
      </c>
      <c r="M116">
        <v>0</v>
      </c>
      <c r="N116">
        <v>0</v>
      </c>
      <c r="O116">
        <v>0</v>
      </c>
    </row>
    <row r="117" spans="1:15" ht="15">
      <c r="A117" t="str">
        <f>"0035491227"</f>
        <v>0035491227</v>
      </c>
      <c r="B117" t="s">
        <v>7</v>
      </c>
      <c r="C117" t="str">
        <f t="shared" si="1"/>
        <v>14/01/01</v>
      </c>
      <c r="D117" t="s">
        <v>169</v>
      </c>
      <c r="E117">
        <v>28.03</v>
      </c>
      <c r="F117">
        <v>29.58</v>
      </c>
      <c r="G117">
        <v>27.79</v>
      </c>
      <c r="H117">
        <v>293.1</v>
      </c>
      <c r="I117">
        <v>24.63</v>
      </c>
      <c r="J117">
        <v>25.48</v>
      </c>
      <c r="K117">
        <v>153.95</v>
      </c>
      <c r="L117">
        <v>153.95</v>
      </c>
      <c r="M117">
        <v>22.96</v>
      </c>
      <c r="N117">
        <v>25.32</v>
      </c>
      <c r="O117">
        <v>272</v>
      </c>
    </row>
    <row r="118" spans="1:15" ht="15">
      <c r="A118" t="str">
        <f>"0035584427"</f>
        <v>0035584427</v>
      </c>
      <c r="B118" t="s">
        <v>8</v>
      </c>
      <c r="C118" t="str">
        <f t="shared" si="1"/>
        <v>14/01/01</v>
      </c>
      <c r="D118" t="s">
        <v>169</v>
      </c>
      <c r="E118">
        <v>0</v>
      </c>
      <c r="F118">
        <v>21.86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 ht="15">
      <c r="A119" t="str">
        <f>"0352135928"</f>
        <v>0352135928</v>
      </c>
      <c r="B119" t="s">
        <v>158</v>
      </c>
      <c r="C119" t="str">
        <f t="shared" si="1"/>
        <v>14/01/01</v>
      </c>
      <c r="D119" t="s">
        <v>206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20.44</v>
      </c>
      <c r="N119">
        <v>0</v>
      </c>
      <c r="O119">
        <v>0</v>
      </c>
    </row>
    <row r="120" spans="1:15" ht="15">
      <c r="A120" t="str">
        <f>"0097412128"</f>
        <v>0097412128</v>
      </c>
      <c r="B120" t="s">
        <v>47</v>
      </c>
      <c r="C120" t="str">
        <f t="shared" si="1"/>
        <v>14/01/01</v>
      </c>
      <c r="D120" t="s">
        <v>206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14.33</v>
      </c>
      <c r="N120">
        <v>17.84</v>
      </c>
      <c r="O120">
        <v>0</v>
      </c>
    </row>
    <row r="121" spans="1:15" ht="15">
      <c r="A121" t="str">
        <f>"0121121028"</f>
        <v>0121121028</v>
      </c>
      <c r="B121" t="s">
        <v>67</v>
      </c>
      <c r="C121" t="str">
        <f t="shared" si="1"/>
        <v>14/01/01</v>
      </c>
      <c r="D121" t="s">
        <v>206</v>
      </c>
      <c r="E121">
        <v>0</v>
      </c>
      <c r="F121">
        <v>17.12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78.05</v>
      </c>
      <c r="M121">
        <v>17.64</v>
      </c>
      <c r="N121">
        <v>0</v>
      </c>
      <c r="O121">
        <v>0</v>
      </c>
    </row>
    <row r="122" spans="1:15" ht="15">
      <c r="A122" t="str">
        <f>"0349929028"</f>
        <v>0349929028</v>
      </c>
      <c r="B122" t="s">
        <v>157</v>
      </c>
      <c r="C122" t="str">
        <f t="shared" si="1"/>
        <v>14/01/01</v>
      </c>
      <c r="D122" t="s">
        <v>206</v>
      </c>
      <c r="E122">
        <v>22.32</v>
      </c>
      <c r="F122">
        <v>21.3</v>
      </c>
      <c r="G122">
        <v>0</v>
      </c>
      <c r="H122">
        <v>0</v>
      </c>
      <c r="I122">
        <v>0</v>
      </c>
      <c r="J122">
        <v>0</v>
      </c>
      <c r="K122">
        <v>31.46</v>
      </c>
      <c r="L122">
        <v>28.33</v>
      </c>
      <c r="M122">
        <v>0</v>
      </c>
      <c r="N122">
        <v>0</v>
      </c>
      <c r="O122">
        <v>0</v>
      </c>
    </row>
    <row r="123" spans="1:15" ht="15">
      <c r="A123" t="str">
        <f>"0170109128"</f>
        <v>0170109128</v>
      </c>
      <c r="B123" t="s">
        <v>92</v>
      </c>
      <c r="C123" t="str">
        <f t="shared" si="1"/>
        <v>14/01/01</v>
      </c>
      <c r="D123" t="s">
        <v>206</v>
      </c>
      <c r="E123">
        <v>21.33</v>
      </c>
      <c r="F123">
        <v>20.82</v>
      </c>
      <c r="G123">
        <v>27.76</v>
      </c>
      <c r="H123">
        <v>296.25</v>
      </c>
      <c r="I123">
        <v>27.42</v>
      </c>
      <c r="J123">
        <v>26.72</v>
      </c>
      <c r="K123">
        <v>83</v>
      </c>
      <c r="L123">
        <v>83</v>
      </c>
      <c r="M123">
        <v>18.28</v>
      </c>
      <c r="N123">
        <v>18.07</v>
      </c>
      <c r="O123">
        <v>236.68</v>
      </c>
    </row>
    <row r="124" spans="1:15" ht="15">
      <c r="A124" t="str">
        <f>"0048589629"</f>
        <v>0048589629</v>
      </c>
      <c r="B124" t="s">
        <v>11</v>
      </c>
      <c r="C124" t="str">
        <f t="shared" si="1"/>
        <v>14/01/01</v>
      </c>
      <c r="D124" t="s">
        <v>159</v>
      </c>
      <c r="E124">
        <v>21.24</v>
      </c>
      <c r="F124">
        <v>21.56</v>
      </c>
      <c r="G124">
        <v>22.16</v>
      </c>
      <c r="H124">
        <v>219.26</v>
      </c>
      <c r="I124">
        <v>22.16</v>
      </c>
      <c r="J124">
        <v>22.16</v>
      </c>
      <c r="K124">
        <v>96.29</v>
      </c>
      <c r="L124">
        <v>0</v>
      </c>
      <c r="M124">
        <v>20.11</v>
      </c>
      <c r="N124">
        <v>20.11</v>
      </c>
      <c r="O124">
        <v>0</v>
      </c>
    </row>
    <row r="125" spans="1:15" ht="15">
      <c r="A125" t="str">
        <f>"0035467829"</f>
        <v>0035467829</v>
      </c>
      <c r="B125" t="s">
        <v>4</v>
      </c>
      <c r="C125" t="str">
        <f t="shared" si="1"/>
        <v>14/01/01</v>
      </c>
      <c r="D125" t="s">
        <v>159</v>
      </c>
      <c r="E125">
        <v>21.63</v>
      </c>
      <c r="F125">
        <v>21.94</v>
      </c>
      <c r="G125">
        <v>31.93</v>
      </c>
      <c r="H125">
        <v>250.02</v>
      </c>
      <c r="I125">
        <v>31.93</v>
      </c>
      <c r="J125">
        <v>25.4</v>
      </c>
      <c r="K125">
        <v>107.05</v>
      </c>
      <c r="L125">
        <v>0</v>
      </c>
      <c r="M125">
        <v>24.33</v>
      </c>
      <c r="N125">
        <v>24.89</v>
      </c>
      <c r="O125">
        <v>247.78</v>
      </c>
    </row>
    <row r="126" spans="1:15" ht="15">
      <c r="A126" t="str">
        <f>"0035466929"</f>
        <v>0035466929</v>
      </c>
      <c r="B126" t="s">
        <v>3</v>
      </c>
      <c r="C126" t="str">
        <f t="shared" si="1"/>
        <v>14/01/01</v>
      </c>
      <c r="D126" t="s">
        <v>159</v>
      </c>
      <c r="E126">
        <v>25.33</v>
      </c>
      <c r="F126">
        <v>23.61</v>
      </c>
      <c r="G126">
        <v>33.46</v>
      </c>
      <c r="H126">
        <v>278.08</v>
      </c>
      <c r="I126">
        <v>25.77</v>
      </c>
      <c r="J126">
        <v>25.84</v>
      </c>
      <c r="K126">
        <v>133</v>
      </c>
      <c r="L126">
        <v>0</v>
      </c>
      <c r="M126">
        <v>23.71</v>
      </c>
      <c r="N126">
        <v>24.8</v>
      </c>
      <c r="O126">
        <v>290.28</v>
      </c>
    </row>
    <row r="127" spans="1:15" ht="15">
      <c r="A127" t="str">
        <f>"0084696029"</f>
        <v>0084696029</v>
      </c>
      <c r="B127" t="s">
        <v>30</v>
      </c>
      <c r="C127" t="str">
        <f t="shared" si="1"/>
        <v>14/01/01</v>
      </c>
      <c r="D127" t="s">
        <v>159</v>
      </c>
      <c r="E127">
        <v>16.02</v>
      </c>
      <c r="F127">
        <v>18.84</v>
      </c>
      <c r="G127">
        <v>23.4</v>
      </c>
      <c r="H127">
        <v>213.37</v>
      </c>
      <c r="I127">
        <v>19.41</v>
      </c>
      <c r="J127">
        <v>20.01</v>
      </c>
      <c r="K127">
        <v>101.01</v>
      </c>
      <c r="L127">
        <v>0</v>
      </c>
      <c r="M127">
        <v>19.33</v>
      </c>
      <c r="N127">
        <v>24.89</v>
      </c>
      <c r="O127">
        <v>231.97</v>
      </c>
    </row>
    <row r="128" spans="1:15" ht="15">
      <c r="A128" t="str">
        <f>"0085078429"</f>
        <v>0085078429</v>
      </c>
      <c r="B128" t="s">
        <v>31</v>
      </c>
      <c r="C128" t="str">
        <f t="shared" si="1"/>
        <v>14/01/01</v>
      </c>
      <c r="D128" t="s">
        <v>159</v>
      </c>
      <c r="E128">
        <v>21.23</v>
      </c>
      <c r="F128">
        <v>21.23</v>
      </c>
      <c r="G128">
        <v>23.28</v>
      </c>
      <c r="H128">
        <v>200.64</v>
      </c>
      <c r="I128">
        <v>21.34</v>
      </c>
      <c r="J128">
        <v>23.28</v>
      </c>
      <c r="K128">
        <v>120.86</v>
      </c>
      <c r="L128">
        <v>105.86</v>
      </c>
      <c r="M128">
        <v>22.65</v>
      </c>
      <c r="N128">
        <v>23.7</v>
      </c>
      <c r="O128">
        <v>0</v>
      </c>
    </row>
    <row r="129" spans="1:15" ht="15">
      <c r="A129" t="str">
        <f>"0078841829"</f>
        <v>0078841829</v>
      </c>
      <c r="B129" t="s">
        <v>24</v>
      </c>
      <c r="C129" t="str">
        <f t="shared" si="1"/>
        <v>14/01/01</v>
      </c>
      <c r="D129" t="s">
        <v>159</v>
      </c>
      <c r="E129">
        <v>22.06</v>
      </c>
      <c r="F129">
        <v>20.31</v>
      </c>
      <c r="G129">
        <v>25.87</v>
      </c>
      <c r="H129">
        <v>249.04</v>
      </c>
      <c r="I129">
        <v>23.41</v>
      </c>
      <c r="J129">
        <v>23.24</v>
      </c>
      <c r="K129">
        <v>110.3</v>
      </c>
      <c r="L129">
        <v>0</v>
      </c>
      <c r="M129">
        <v>23.11</v>
      </c>
      <c r="N129">
        <v>23.11</v>
      </c>
      <c r="O129">
        <v>244.16</v>
      </c>
    </row>
    <row r="130" spans="1:15" ht="15">
      <c r="A130" t="str">
        <f>"0124688629"</f>
        <v>0124688629</v>
      </c>
      <c r="B130" t="s">
        <v>68</v>
      </c>
      <c r="C130" t="str">
        <f t="shared" si="1"/>
        <v>14/01/01</v>
      </c>
      <c r="D130" t="s">
        <v>159</v>
      </c>
      <c r="E130">
        <v>24.4</v>
      </c>
      <c r="F130">
        <v>24.14</v>
      </c>
      <c r="G130">
        <v>33.46</v>
      </c>
      <c r="H130">
        <v>285.5</v>
      </c>
      <c r="I130">
        <v>26.18</v>
      </c>
      <c r="J130">
        <v>28.12</v>
      </c>
      <c r="K130">
        <v>129.61</v>
      </c>
      <c r="L130">
        <v>0</v>
      </c>
      <c r="M130">
        <v>23.71</v>
      </c>
      <c r="N130">
        <v>24.8</v>
      </c>
      <c r="O130">
        <v>290.32</v>
      </c>
    </row>
    <row r="131" spans="1:15" ht="15">
      <c r="A131" t="str">
        <f>"0135774429"</f>
        <v>0135774429</v>
      </c>
      <c r="B131" t="s">
        <v>74</v>
      </c>
      <c r="C131" t="str">
        <f t="shared" si="1"/>
        <v>14/01/01</v>
      </c>
      <c r="D131" t="s">
        <v>159</v>
      </c>
      <c r="E131">
        <v>20.77</v>
      </c>
      <c r="F131">
        <v>21.23</v>
      </c>
      <c r="G131">
        <v>32.5</v>
      </c>
      <c r="H131">
        <v>211.89</v>
      </c>
      <c r="I131">
        <v>34.53</v>
      </c>
      <c r="J131">
        <v>32.46</v>
      </c>
      <c r="K131">
        <v>87.02</v>
      </c>
      <c r="L131">
        <v>144.96</v>
      </c>
      <c r="M131">
        <v>23.84</v>
      </c>
      <c r="N131">
        <v>24.93</v>
      </c>
      <c r="O131">
        <v>286.87</v>
      </c>
    </row>
    <row r="132" spans="1:15" ht="15">
      <c r="A132" t="str">
        <f>"0141900729"</f>
        <v>0141900729</v>
      </c>
      <c r="B132" t="s">
        <v>76</v>
      </c>
      <c r="C132" t="str">
        <f t="shared" si="1"/>
        <v>14/01/01</v>
      </c>
      <c r="D132" t="s">
        <v>159</v>
      </c>
      <c r="E132">
        <v>22.63</v>
      </c>
      <c r="F132">
        <v>22.9</v>
      </c>
      <c r="G132">
        <v>30.92</v>
      </c>
      <c r="H132">
        <v>246.54</v>
      </c>
      <c r="I132">
        <v>30.92</v>
      </c>
      <c r="J132">
        <v>31.08</v>
      </c>
      <c r="K132">
        <v>122.27</v>
      </c>
      <c r="L132">
        <v>176.58</v>
      </c>
      <c r="M132">
        <v>23.35</v>
      </c>
      <c r="N132">
        <v>24.44</v>
      </c>
      <c r="O132">
        <v>217.2</v>
      </c>
    </row>
    <row r="133" spans="1:15" ht="15">
      <c r="A133" t="str">
        <f>"0148777829"</f>
        <v>0148777829</v>
      </c>
      <c r="B133" t="s">
        <v>83</v>
      </c>
      <c r="C133" t="str">
        <f t="shared" si="1"/>
        <v>14/01/01</v>
      </c>
      <c r="D133" t="s">
        <v>159</v>
      </c>
      <c r="E133">
        <v>17.6</v>
      </c>
      <c r="F133">
        <v>19.48</v>
      </c>
      <c r="G133">
        <v>22.26</v>
      </c>
      <c r="H133">
        <v>251.32</v>
      </c>
      <c r="I133">
        <v>24.15</v>
      </c>
      <c r="J133">
        <v>28.86</v>
      </c>
      <c r="K133">
        <v>106.37</v>
      </c>
      <c r="L133">
        <v>0</v>
      </c>
      <c r="M133">
        <v>23.79</v>
      </c>
      <c r="N133">
        <v>25.44</v>
      </c>
      <c r="O133">
        <v>289.83</v>
      </c>
    </row>
    <row r="134" spans="1:15" ht="15">
      <c r="A134" t="str">
        <f>"0035468729"</f>
        <v>0035468729</v>
      </c>
      <c r="B134" t="s">
        <v>5</v>
      </c>
      <c r="C134" t="str">
        <f t="shared" si="1"/>
        <v>14/01/01</v>
      </c>
      <c r="D134" t="s">
        <v>159</v>
      </c>
      <c r="E134">
        <v>23.57</v>
      </c>
      <c r="F134">
        <v>23.87</v>
      </c>
      <c r="G134">
        <v>28.4</v>
      </c>
      <c r="H134">
        <v>274.34</v>
      </c>
      <c r="I134">
        <v>30.55</v>
      </c>
      <c r="J134">
        <v>28.45</v>
      </c>
      <c r="K134">
        <v>139.09</v>
      </c>
      <c r="L134">
        <v>0</v>
      </c>
      <c r="M134">
        <v>23.71</v>
      </c>
      <c r="N134">
        <v>24.54</v>
      </c>
      <c r="O134">
        <v>293.23</v>
      </c>
    </row>
    <row r="135" spans="1:15" ht="15">
      <c r="A135" t="str">
        <f>"0081865329"</f>
        <v>0081865329</v>
      </c>
      <c r="B135" t="s">
        <v>29</v>
      </c>
      <c r="C135" t="str">
        <f aca="true" t="shared" si="2" ref="C135:C198">"14/01/01"</f>
        <v>14/01/01</v>
      </c>
      <c r="D135" t="s">
        <v>159</v>
      </c>
      <c r="E135">
        <v>19.96</v>
      </c>
      <c r="F135">
        <v>20.23</v>
      </c>
      <c r="G135">
        <v>26.69</v>
      </c>
      <c r="H135">
        <v>217.09</v>
      </c>
      <c r="I135">
        <v>21.17</v>
      </c>
      <c r="J135">
        <v>21.5</v>
      </c>
      <c r="K135">
        <v>89.08</v>
      </c>
      <c r="L135">
        <v>0</v>
      </c>
      <c r="M135">
        <v>0</v>
      </c>
      <c r="N135">
        <v>0</v>
      </c>
      <c r="O135">
        <v>0</v>
      </c>
    </row>
    <row r="136" spans="1:15" ht="15">
      <c r="A136" t="str">
        <f>"0144435729"</f>
        <v>0144435729</v>
      </c>
      <c r="B136" t="s">
        <v>77</v>
      </c>
      <c r="C136" t="str">
        <f t="shared" si="2"/>
        <v>14/01/01</v>
      </c>
      <c r="D136" t="s">
        <v>159</v>
      </c>
      <c r="E136">
        <v>22.99</v>
      </c>
      <c r="F136">
        <v>22.43</v>
      </c>
      <c r="G136">
        <v>18.94</v>
      </c>
      <c r="H136">
        <v>246.7</v>
      </c>
      <c r="I136">
        <v>21.48</v>
      </c>
      <c r="J136">
        <v>23.34</v>
      </c>
      <c r="K136">
        <v>88.29</v>
      </c>
      <c r="L136">
        <v>88.29</v>
      </c>
      <c r="M136">
        <v>23.39</v>
      </c>
      <c r="N136">
        <v>23.94</v>
      </c>
      <c r="O136">
        <v>246.89</v>
      </c>
    </row>
    <row r="137" spans="1:15" ht="15">
      <c r="A137" t="str">
        <f>"0179473829"</f>
        <v>0179473829</v>
      </c>
      <c r="B137" t="s">
        <v>111</v>
      </c>
      <c r="C137" t="str">
        <f t="shared" si="2"/>
        <v>14/01/01</v>
      </c>
      <c r="D137" t="s">
        <v>159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19.27</v>
      </c>
      <c r="N137">
        <v>23.95</v>
      </c>
      <c r="O137">
        <v>237.28</v>
      </c>
    </row>
    <row r="138" spans="1:15" ht="15">
      <c r="A138" t="str">
        <f>"0136467629"</f>
        <v>0136467629</v>
      </c>
      <c r="B138" t="s">
        <v>75</v>
      </c>
      <c r="C138" t="str">
        <f t="shared" si="2"/>
        <v>14/01/01</v>
      </c>
      <c r="D138" t="s">
        <v>159</v>
      </c>
      <c r="E138">
        <v>20.28</v>
      </c>
      <c r="F138">
        <v>20.54</v>
      </c>
      <c r="G138">
        <v>27.42</v>
      </c>
      <c r="H138">
        <v>238.46</v>
      </c>
      <c r="I138">
        <v>27.42</v>
      </c>
      <c r="J138">
        <v>27.42</v>
      </c>
      <c r="K138">
        <v>92.9</v>
      </c>
      <c r="L138">
        <v>0</v>
      </c>
      <c r="M138">
        <v>0</v>
      </c>
      <c r="N138">
        <v>0</v>
      </c>
      <c r="O138">
        <v>0</v>
      </c>
    </row>
    <row r="139" spans="1:15" ht="15">
      <c r="A139" t="str">
        <f>"0150251029"</f>
        <v>0150251029</v>
      </c>
      <c r="B139" t="s">
        <v>84</v>
      </c>
      <c r="C139" t="str">
        <f t="shared" si="2"/>
        <v>14/01/01</v>
      </c>
      <c r="D139" t="s">
        <v>159</v>
      </c>
      <c r="E139">
        <v>30.77</v>
      </c>
      <c r="F139">
        <v>31.33</v>
      </c>
      <c r="G139">
        <v>35.18</v>
      </c>
      <c r="H139">
        <v>281.64</v>
      </c>
      <c r="I139">
        <v>34.26</v>
      </c>
      <c r="J139">
        <v>31.6</v>
      </c>
      <c r="K139">
        <v>176.57</v>
      </c>
      <c r="L139">
        <v>0</v>
      </c>
      <c r="M139">
        <v>0</v>
      </c>
      <c r="N139">
        <v>0</v>
      </c>
      <c r="O139">
        <v>0</v>
      </c>
    </row>
    <row r="140" spans="1:15" ht="15">
      <c r="A140" t="str">
        <f>"0108728729"</f>
        <v>0108728729</v>
      </c>
      <c r="B140" t="s">
        <v>61</v>
      </c>
      <c r="C140" t="str">
        <f t="shared" si="2"/>
        <v>14/01/01</v>
      </c>
      <c r="D140" t="s">
        <v>159</v>
      </c>
      <c r="E140">
        <v>18.77</v>
      </c>
      <c r="F140">
        <v>19.04</v>
      </c>
      <c r="G140">
        <v>25.52</v>
      </c>
      <c r="H140">
        <v>215.76</v>
      </c>
      <c r="I140">
        <v>26.2</v>
      </c>
      <c r="J140">
        <v>24.2</v>
      </c>
      <c r="K140">
        <v>92.58</v>
      </c>
      <c r="L140">
        <v>0</v>
      </c>
      <c r="M140">
        <v>0</v>
      </c>
      <c r="N140">
        <v>0</v>
      </c>
      <c r="O140">
        <v>0</v>
      </c>
    </row>
    <row r="141" spans="1:15" ht="15">
      <c r="A141" t="str">
        <f>"0042019529"</f>
        <v>0042019529</v>
      </c>
      <c r="B141" t="s">
        <v>10</v>
      </c>
      <c r="C141" t="str">
        <f t="shared" si="2"/>
        <v>14/01/01</v>
      </c>
      <c r="D141" t="s">
        <v>159</v>
      </c>
      <c r="E141">
        <v>19.53</v>
      </c>
      <c r="F141">
        <v>19.81</v>
      </c>
      <c r="G141">
        <v>25.24</v>
      </c>
      <c r="H141">
        <v>215.77</v>
      </c>
      <c r="I141">
        <v>21.58</v>
      </c>
      <c r="J141">
        <v>21.57</v>
      </c>
      <c r="K141">
        <v>88.3</v>
      </c>
      <c r="L141">
        <v>88.3</v>
      </c>
      <c r="M141">
        <v>0</v>
      </c>
      <c r="N141">
        <v>0</v>
      </c>
      <c r="O141">
        <v>0</v>
      </c>
    </row>
    <row r="142" spans="1:15" ht="15">
      <c r="A142" t="str">
        <f>"0166341429"</f>
        <v>0166341429</v>
      </c>
      <c r="B142" t="s">
        <v>88</v>
      </c>
      <c r="C142" t="str">
        <f t="shared" si="2"/>
        <v>14/01/01</v>
      </c>
      <c r="D142" t="s">
        <v>159</v>
      </c>
      <c r="E142">
        <v>24.17</v>
      </c>
      <c r="F142">
        <v>24.53</v>
      </c>
      <c r="G142">
        <v>35.55</v>
      </c>
      <c r="H142">
        <v>262.73</v>
      </c>
      <c r="I142">
        <v>36.45</v>
      </c>
      <c r="J142">
        <v>34.54</v>
      </c>
      <c r="K142">
        <v>124.92</v>
      </c>
      <c r="L142">
        <v>0</v>
      </c>
      <c r="M142">
        <v>25.43</v>
      </c>
      <c r="N142">
        <v>25.98</v>
      </c>
      <c r="O142">
        <v>297.57</v>
      </c>
    </row>
    <row r="143" spans="1:15" ht="15">
      <c r="A143" t="str">
        <f>"0172952429"</f>
        <v>0172952429</v>
      </c>
      <c r="B143" t="s">
        <v>96</v>
      </c>
      <c r="C143" t="str">
        <f t="shared" si="2"/>
        <v>14/01/01</v>
      </c>
      <c r="D143" t="s">
        <v>159</v>
      </c>
      <c r="E143">
        <v>19.22</v>
      </c>
      <c r="F143">
        <v>20.06</v>
      </c>
      <c r="G143">
        <v>22.89</v>
      </c>
      <c r="H143">
        <v>232.45</v>
      </c>
      <c r="I143">
        <v>21.24</v>
      </c>
      <c r="J143">
        <v>22.32</v>
      </c>
      <c r="K143">
        <v>77.46</v>
      </c>
      <c r="L143">
        <v>77.53</v>
      </c>
      <c r="M143">
        <v>18.73</v>
      </c>
      <c r="N143">
        <v>19.29</v>
      </c>
      <c r="O143">
        <v>223.03</v>
      </c>
    </row>
    <row r="144" spans="1:15" ht="15">
      <c r="A144" t="str">
        <f>"0035486129"</f>
        <v>0035486129</v>
      </c>
      <c r="B144" t="s">
        <v>6</v>
      </c>
      <c r="C144" t="str">
        <f t="shared" si="2"/>
        <v>14/01/01</v>
      </c>
      <c r="D144" t="s">
        <v>159</v>
      </c>
      <c r="E144">
        <v>18.01</v>
      </c>
      <c r="F144">
        <v>18.16</v>
      </c>
      <c r="G144">
        <v>31.82</v>
      </c>
      <c r="H144">
        <v>208.3</v>
      </c>
      <c r="I144">
        <v>26.33</v>
      </c>
      <c r="J144">
        <v>20.88</v>
      </c>
      <c r="K144">
        <v>116.99</v>
      </c>
      <c r="L144">
        <v>151.03</v>
      </c>
      <c r="M144">
        <v>18.94</v>
      </c>
      <c r="N144">
        <v>24.84</v>
      </c>
      <c r="O144">
        <v>227.88</v>
      </c>
    </row>
    <row r="145" spans="1:15" ht="15">
      <c r="A145" t="str">
        <f>"0161452029"</f>
        <v>0161452029</v>
      </c>
      <c r="B145" t="s">
        <v>86</v>
      </c>
      <c r="C145" t="str">
        <f t="shared" si="2"/>
        <v>14/01/01</v>
      </c>
      <c r="D145" t="s">
        <v>159</v>
      </c>
      <c r="E145">
        <v>0</v>
      </c>
      <c r="F145">
        <v>19.77</v>
      </c>
      <c r="G145">
        <v>0</v>
      </c>
      <c r="H145">
        <v>197.71</v>
      </c>
      <c r="I145">
        <v>0</v>
      </c>
      <c r="J145">
        <v>0</v>
      </c>
      <c r="K145">
        <v>88.29</v>
      </c>
      <c r="L145">
        <v>0</v>
      </c>
      <c r="M145">
        <v>0</v>
      </c>
      <c r="N145">
        <v>0</v>
      </c>
      <c r="O145">
        <v>0</v>
      </c>
    </row>
    <row r="146" spans="1:15" ht="15">
      <c r="A146" t="str">
        <f>"0097443829"</f>
        <v>0097443829</v>
      </c>
      <c r="B146" t="s">
        <v>49</v>
      </c>
      <c r="C146" t="str">
        <f t="shared" si="2"/>
        <v>14/01/01</v>
      </c>
      <c r="D146" t="s">
        <v>159</v>
      </c>
      <c r="E146">
        <v>16.29</v>
      </c>
      <c r="F146">
        <v>16.29</v>
      </c>
      <c r="G146">
        <v>21.17</v>
      </c>
      <c r="H146">
        <v>221.97</v>
      </c>
      <c r="I146">
        <v>18.33</v>
      </c>
      <c r="J146">
        <v>16.98</v>
      </c>
      <c r="K146">
        <v>154.33</v>
      </c>
      <c r="L146">
        <v>97.89</v>
      </c>
      <c r="M146">
        <v>0</v>
      </c>
      <c r="N146">
        <v>0</v>
      </c>
      <c r="O146">
        <v>0</v>
      </c>
    </row>
    <row r="147" spans="1:15" ht="15">
      <c r="A147" t="str">
        <f>"0108549629"</f>
        <v>0108549629</v>
      </c>
      <c r="B147" t="s">
        <v>60</v>
      </c>
      <c r="C147" t="str">
        <f t="shared" si="2"/>
        <v>14/01/01</v>
      </c>
      <c r="D147" t="s">
        <v>159</v>
      </c>
      <c r="E147">
        <v>25.33</v>
      </c>
      <c r="F147">
        <v>21.22</v>
      </c>
      <c r="G147">
        <v>33.52</v>
      </c>
      <c r="H147">
        <v>238.03</v>
      </c>
      <c r="I147">
        <v>26.32</v>
      </c>
      <c r="J147">
        <v>28.34</v>
      </c>
      <c r="K147">
        <v>151.32</v>
      </c>
      <c r="L147">
        <v>151.32</v>
      </c>
      <c r="M147">
        <v>19.6</v>
      </c>
      <c r="N147">
        <v>24.82</v>
      </c>
      <c r="O147">
        <v>238.47</v>
      </c>
    </row>
    <row r="148" spans="1:15" ht="15">
      <c r="A148" t="str">
        <f>"0035491229"</f>
        <v>0035491229</v>
      </c>
      <c r="B148" t="s">
        <v>7</v>
      </c>
      <c r="C148" t="str">
        <f t="shared" si="2"/>
        <v>14/01/01</v>
      </c>
      <c r="D148" t="s">
        <v>159</v>
      </c>
      <c r="E148">
        <v>20.81</v>
      </c>
      <c r="F148">
        <v>20.09</v>
      </c>
      <c r="G148">
        <v>30.14</v>
      </c>
      <c r="H148">
        <v>240.38</v>
      </c>
      <c r="I148">
        <v>24.56</v>
      </c>
      <c r="J148">
        <v>24.55</v>
      </c>
      <c r="K148">
        <v>93.77</v>
      </c>
      <c r="L148">
        <v>159.19</v>
      </c>
      <c r="M148">
        <v>24.61</v>
      </c>
      <c r="N148">
        <v>27.06</v>
      </c>
      <c r="O148">
        <v>292.12</v>
      </c>
    </row>
    <row r="149" spans="1:15" ht="15">
      <c r="A149" t="str">
        <f>"0113351329"</f>
        <v>0113351329</v>
      </c>
      <c r="B149" t="s">
        <v>63</v>
      </c>
      <c r="C149" t="str">
        <f t="shared" si="2"/>
        <v>14/01/01</v>
      </c>
      <c r="D149" t="s">
        <v>159</v>
      </c>
      <c r="E149">
        <v>22.9</v>
      </c>
      <c r="F149">
        <v>22.78</v>
      </c>
      <c r="G149">
        <v>33.46</v>
      </c>
      <c r="H149">
        <v>218.78</v>
      </c>
      <c r="I149">
        <v>25.45</v>
      </c>
      <c r="J149">
        <v>25.31</v>
      </c>
      <c r="K149">
        <v>132.6</v>
      </c>
      <c r="L149">
        <v>174.49</v>
      </c>
      <c r="M149">
        <v>23.73</v>
      </c>
      <c r="N149">
        <v>24.89</v>
      </c>
      <c r="O149">
        <v>290.37</v>
      </c>
    </row>
    <row r="150" spans="1:15" ht="15">
      <c r="A150" t="str">
        <f>"0072228929"</f>
        <v>0072228929</v>
      </c>
      <c r="B150" t="s">
        <v>23</v>
      </c>
      <c r="C150" t="str">
        <f t="shared" si="2"/>
        <v>14/01/01</v>
      </c>
      <c r="D150" t="s">
        <v>159</v>
      </c>
      <c r="E150">
        <v>22.28</v>
      </c>
      <c r="F150">
        <v>22.8</v>
      </c>
      <c r="G150">
        <v>24.93</v>
      </c>
      <c r="H150">
        <v>246.59</v>
      </c>
      <c r="I150">
        <v>23.13</v>
      </c>
      <c r="J150">
        <v>24.68</v>
      </c>
      <c r="K150">
        <v>64.85</v>
      </c>
      <c r="L150">
        <v>0</v>
      </c>
      <c r="M150">
        <v>0</v>
      </c>
      <c r="N150">
        <v>0</v>
      </c>
      <c r="O150">
        <v>0</v>
      </c>
    </row>
    <row r="151" spans="1:15" ht="15">
      <c r="A151" t="str">
        <f>"0118018931"</f>
        <v>0118018931</v>
      </c>
      <c r="B151" t="s">
        <v>66</v>
      </c>
      <c r="C151" t="str">
        <f t="shared" si="2"/>
        <v>14/01/01</v>
      </c>
      <c r="D151" t="s">
        <v>193</v>
      </c>
      <c r="E151">
        <v>24.62</v>
      </c>
      <c r="F151">
        <v>25.4</v>
      </c>
      <c r="G151">
        <v>26.24</v>
      </c>
      <c r="H151">
        <v>63.02</v>
      </c>
      <c r="I151">
        <v>24.65</v>
      </c>
      <c r="J151">
        <v>25.5</v>
      </c>
      <c r="K151">
        <v>86.96</v>
      </c>
      <c r="L151">
        <v>0</v>
      </c>
      <c r="M151">
        <v>24.56</v>
      </c>
      <c r="N151">
        <v>28.42</v>
      </c>
      <c r="O151">
        <v>167.43</v>
      </c>
    </row>
    <row r="152" spans="1:15" ht="15">
      <c r="A152" t="str">
        <f>"0084696031"</f>
        <v>0084696031</v>
      </c>
      <c r="B152" t="s">
        <v>30</v>
      </c>
      <c r="C152" t="str">
        <f t="shared" si="2"/>
        <v>14/01/01</v>
      </c>
      <c r="D152" t="s">
        <v>193</v>
      </c>
      <c r="E152">
        <v>16.98</v>
      </c>
      <c r="F152">
        <v>17.11</v>
      </c>
      <c r="G152">
        <v>19.38</v>
      </c>
      <c r="H152">
        <v>219.09</v>
      </c>
      <c r="I152">
        <v>18.02</v>
      </c>
      <c r="J152">
        <v>18.87</v>
      </c>
      <c r="K152">
        <v>0</v>
      </c>
      <c r="L152">
        <v>0</v>
      </c>
      <c r="M152">
        <v>17.89</v>
      </c>
      <c r="N152">
        <v>19.44</v>
      </c>
      <c r="O152">
        <v>206.39</v>
      </c>
    </row>
    <row r="153" spans="1:15" ht="15">
      <c r="A153" t="str">
        <f>"0199214931"</f>
        <v>0199214931</v>
      </c>
      <c r="B153" t="s">
        <v>118</v>
      </c>
      <c r="C153" t="str">
        <f t="shared" si="2"/>
        <v>14/01/01</v>
      </c>
      <c r="D153" t="s">
        <v>193</v>
      </c>
      <c r="E153">
        <v>19.51</v>
      </c>
      <c r="F153">
        <v>19.93</v>
      </c>
      <c r="G153">
        <v>0</v>
      </c>
      <c r="H153">
        <v>0</v>
      </c>
      <c r="I153">
        <v>0</v>
      </c>
      <c r="J153">
        <v>0</v>
      </c>
      <c r="K153">
        <v>117.82</v>
      </c>
      <c r="L153">
        <v>0</v>
      </c>
      <c r="M153">
        <v>0</v>
      </c>
      <c r="N153">
        <v>0</v>
      </c>
      <c r="O153">
        <v>0</v>
      </c>
    </row>
    <row r="154" spans="1:15" ht="15">
      <c r="A154" t="str">
        <f>"0231917531"</f>
        <v>0231917531</v>
      </c>
      <c r="B154" t="s">
        <v>130</v>
      </c>
      <c r="C154" t="str">
        <f t="shared" si="2"/>
        <v>14/01/01</v>
      </c>
      <c r="D154" t="s">
        <v>193</v>
      </c>
      <c r="E154">
        <v>20.81</v>
      </c>
      <c r="F154">
        <v>21.34</v>
      </c>
      <c r="G154">
        <v>0</v>
      </c>
      <c r="H154">
        <v>213.42</v>
      </c>
      <c r="I154">
        <v>0</v>
      </c>
      <c r="J154">
        <v>0</v>
      </c>
      <c r="K154">
        <v>62.8</v>
      </c>
      <c r="L154">
        <v>0</v>
      </c>
      <c r="M154">
        <v>20.75</v>
      </c>
      <c r="N154">
        <v>21.34</v>
      </c>
      <c r="O154">
        <v>213.42</v>
      </c>
    </row>
    <row r="155" spans="1:15" ht="15">
      <c r="A155" t="str">
        <f>"0088797631"</f>
        <v>0088797631</v>
      </c>
      <c r="B155" t="s">
        <v>32</v>
      </c>
      <c r="C155" t="str">
        <f t="shared" si="2"/>
        <v>14/01/01</v>
      </c>
      <c r="D155" t="s">
        <v>193</v>
      </c>
      <c r="E155">
        <v>23.54</v>
      </c>
      <c r="F155">
        <v>24.29</v>
      </c>
      <c r="G155">
        <v>0</v>
      </c>
      <c r="H155">
        <v>0</v>
      </c>
      <c r="I155">
        <v>23.57</v>
      </c>
      <c r="J155">
        <v>24.29</v>
      </c>
      <c r="K155">
        <v>0</v>
      </c>
      <c r="L155">
        <v>55.27</v>
      </c>
      <c r="M155">
        <v>0</v>
      </c>
      <c r="N155">
        <v>0</v>
      </c>
      <c r="O155">
        <v>0</v>
      </c>
    </row>
    <row r="156" spans="1:15" ht="15">
      <c r="A156" t="str">
        <f>"0104801731"</f>
        <v>0104801731</v>
      </c>
      <c r="B156" t="s">
        <v>55</v>
      </c>
      <c r="C156" t="str">
        <f t="shared" si="2"/>
        <v>14/01/01</v>
      </c>
      <c r="D156" t="s">
        <v>193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16.7</v>
      </c>
      <c r="N156">
        <v>19.87</v>
      </c>
      <c r="O156">
        <v>0</v>
      </c>
    </row>
    <row r="157" spans="1:15" ht="15">
      <c r="A157" t="str">
        <f>"0175102831"</f>
        <v>0175102831</v>
      </c>
      <c r="B157" t="s">
        <v>105</v>
      </c>
      <c r="C157" t="str">
        <f t="shared" si="2"/>
        <v>14/01/01</v>
      </c>
      <c r="D157" t="s">
        <v>193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12.59</v>
      </c>
      <c r="N157">
        <v>12.35</v>
      </c>
      <c r="O157">
        <v>0</v>
      </c>
    </row>
    <row r="158" spans="1:15" ht="15">
      <c r="A158" t="str">
        <f>"0240778931"</f>
        <v>0240778931</v>
      </c>
      <c r="B158" t="s">
        <v>133</v>
      </c>
      <c r="C158" t="str">
        <f t="shared" si="2"/>
        <v>14/01/01</v>
      </c>
      <c r="D158" t="s">
        <v>193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16.88</v>
      </c>
      <c r="N158">
        <v>0</v>
      </c>
      <c r="O158">
        <v>0</v>
      </c>
    </row>
    <row r="159" spans="1:15" ht="15">
      <c r="A159" t="str">
        <f>"0081106931"</f>
        <v>0081106931</v>
      </c>
      <c r="B159" t="s">
        <v>28</v>
      </c>
      <c r="C159" t="str">
        <f t="shared" si="2"/>
        <v>14/01/01</v>
      </c>
      <c r="D159" t="s">
        <v>193</v>
      </c>
      <c r="E159">
        <v>19.86</v>
      </c>
      <c r="F159">
        <v>21.23</v>
      </c>
      <c r="G159">
        <v>22.86</v>
      </c>
      <c r="H159">
        <v>240.27</v>
      </c>
      <c r="I159">
        <v>21.11</v>
      </c>
      <c r="J159">
        <v>22.12</v>
      </c>
      <c r="K159">
        <v>83.09</v>
      </c>
      <c r="L159">
        <v>95.39</v>
      </c>
      <c r="M159">
        <v>17.84</v>
      </c>
      <c r="N159">
        <v>20.44</v>
      </c>
      <c r="O159">
        <v>260.29</v>
      </c>
    </row>
    <row r="160" spans="1:15" ht="15">
      <c r="A160" t="str">
        <f>"0327725432"</f>
        <v>0327725432</v>
      </c>
      <c r="B160" t="s">
        <v>151</v>
      </c>
      <c r="C160" t="str">
        <f t="shared" si="2"/>
        <v>14/01/01</v>
      </c>
      <c r="D160" t="s">
        <v>201</v>
      </c>
      <c r="E160">
        <v>19.12</v>
      </c>
      <c r="F160">
        <v>19.54</v>
      </c>
      <c r="G160">
        <v>0</v>
      </c>
      <c r="H160">
        <v>0</v>
      </c>
      <c r="I160">
        <v>0</v>
      </c>
      <c r="J160">
        <v>0</v>
      </c>
      <c r="K160">
        <v>83.25</v>
      </c>
      <c r="L160">
        <v>109.06</v>
      </c>
      <c r="M160">
        <v>0</v>
      </c>
      <c r="N160">
        <v>0</v>
      </c>
      <c r="O160">
        <v>0</v>
      </c>
    </row>
    <row r="161" spans="1:15" ht="15">
      <c r="A161" t="str">
        <f>"0092127932"</f>
        <v>0092127932</v>
      </c>
      <c r="B161" t="s">
        <v>41</v>
      </c>
      <c r="C161" t="str">
        <f t="shared" si="2"/>
        <v>14/01/01</v>
      </c>
      <c r="D161" t="s">
        <v>201</v>
      </c>
      <c r="E161">
        <v>17.59</v>
      </c>
      <c r="F161">
        <v>18.36</v>
      </c>
      <c r="G161">
        <v>0</v>
      </c>
      <c r="H161">
        <v>0</v>
      </c>
      <c r="I161">
        <v>17.62</v>
      </c>
      <c r="J161">
        <v>18.47</v>
      </c>
      <c r="K161">
        <v>80.79</v>
      </c>
      <c r="L161">
        <v>0</v>
      </c>
      <c r="M161">
        <v>0</v>
      </c>
      <c r="N161">
        <v>0</v>
      </c>
      <c r="O161">
        <v>0</v>
      </c>
    </row>
    <row r="162" spans="1:15" ht="15">
      <c r="A162" t="str">
        <f>"0171776632"</f>
        <v>0171776632</v>
      </c>
      <c r="B162" t="s">
        <v>95</v>
      </c>
      <c r="C162" t="str">
        <f t="shared" si="2"/>
        <v>14/01/01</v>
      </c>
      <c r="D162" t="s">
        <v>201</v>
      </c>
      <c r="E162">
        <v>19.29</v>
      </c>
      <c r="F162">
        <v>20.05</v>
      </c>
      <c r="G162">
        <v>0</v>
      </c>
      <c r="H162">
        <v>0</v>
      </c>
      <c r="I162">
        <v>0</v>
      </c>
      <c r="J162">
        <v>0</v>
      </c>
      <c r="K162">
        <v>38.19</v>
      </c>
      <c r="L162">
        <v>0</v>
      </c>
      <c r="M162">
        <v>0</v>
      </c>
      <c r="N162">
        <v>0</v>
      </c>
      <c r="O162">
        <v>0</v>
      </c>
    </row>
    <row r="163" spans="1:15" ht="15">
      <c r="A163" t="str">
        <f>"0097412132"</f>
        <v>0097412132</v>
      </c>
      <c r="B163" t="s">
        <v>47</v>
      </c>
      <c r="C163" t="str">
        <f t="shared" si="2"/>
        <v>14/01/01</v>
      </c>
      <c r="D163" t="s">
        <v>201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15.02</v>
      </c>
      <c r="N163">
        <v>16.01</v>
      </c>
      <c r="O163">
        <v>0</v>
      </c>
    </row>
    <row r="164" spans="1:15" ht="15">
      <c r="A164" t="str">
        <f>"0105243732"</f>
        <v>0105243732</v>
      </c>
      <c r="B164" t="s">
        <v>56</v>
      </c>
      <c r="C164" t="str">
        <f t="shared" si="2"/>
        <v>14/01/01</v>
      </c>
      <c r="D164" t="s">
        <v>201</v>
      </c>
      <c r="E164">
        <v>24.31</v>
      </c>
      <c r="F164">
        <v>25.46</v>
      </c>
      <c r="G164">
        <v>27.85</v>
      </c>
      <c r="H164">
        <v>280.63</v>
      </c>
      <c r="I164">
        <v>26.25</v>
      </c>
      <c r="J164">
        <v>27.74</v>
      </c>
      <c r="K164">
        <v>131.13</v>
      </c>
      <c r="L164">
        <v>0</v>
      </c>
      <c r="M164">
        <v>25.09</v>
      </c>
      <c r="N164">
        <v>27.93</v>
      </c>
      <c r="O164">
        <v>275.33</v>
      </c>
    </row>
    <row r="165" spans="1:15" ht="15">
      <c r="A165" t="str">
        <f>"0084696033"</f>
        <v>0084696033</v>
      </c>
      <c r="B165" t="s">
        <v>30</v>
      </c>
      <c r="C165" t="str">
        <f t="shared" si="2"/>
        <v>14/01/01</v>
      </c>
      <c r="D165" t="s">
        <v>180</v>
      </c>
      <c r="E165">
        <v>15.6</v>
      </c>
      <c r="F165">
        <v>16.05</v>
      </c>
      <c r="G165">
        <v>23.28</v>
      </c>
      <c r="H165">
        <v>211.58</v>
      </c>
      <c r="I165">
        <v>22.81</v>
      </c>
      <c r="J165">
        <v>23.66</v>
      </c>
      <c r="K165">
        <v>121.03</v>
      </c>
      <c r="L165">
        <v>0</v>
      </c>
      <c r="M165">
        <v>21.44</v>
      </c>
      <c r="N165">
        <v>23.75</v>
      </c>
      <c r="O165">
        <v>220.01</v>
      </c>
    </row>
    <row r="166" spans="1:15" ht="15">
      <c r="A166" t="str">
        <f>"0173391733"</f>
        <v>0173391733</v>
      </c>
      <c r="B166" t="s">
        <v>98</v>
      </c>
      <c r="C166" t="str">
        <f t="shared" si="2"/>
        <v>14/01/01</v>
      </c>
      <c r="D166" t="s">
        <v>180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16.95</v>
      </c>
      <c r="N166">
        <v>0</v>
      </c>
      <c r="O166">
        <v>0</v>
      </c>
    </row>
    <row r="167" spans="1:15" ht="15">
      <c r="A167" t="str">
        <f>"0128870633"</f>
        <v>0128870633</v>
      </c>
      <c r="B167" t="s">
        <v>70</v>
      </c>
      <c r="C167" t="str">
        <f t="shared" si="2"/>
        <v>14/01/01</v>
      </c>
      <c r="D167" t="s">
        <v>180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16.61</v>
      </c>
      <c r="N167">
        <v>17.38</v>
      </c>
      <c r="O167">
        <v>0</v>
      </c>
    </row>
    <row r="168" spans="1:15" ht="15">
      <c r="A168" t="str">
        <f>"0058802333"</f>
        <v>0058802333</v>
      </c>
      <c r="B168" t="s">
        <v>20</v>
      </c>
      <c r="C168" t="str">
        <f t="shared" si="2"/>
        <v>14/01/01</v>
      </c>
      <c r="D168" t="s">
        <v>180</v>
      </c>
      <c r="E168">
        <v>20.56</v>
      </c>
      <c r="F168">
        <v>20.7</v>
      </c>
      <c r="G168">
        <v>20.7</v>
      </c>
      <c r="H168">
        <v>0</v>
      </c>
      <c r="I168">
        <v>20.59</v>
      </c>
      <c r="J168">
        <v>20.7</v>
      </c>
      <c r="K168">
        <v>131.57</v>
      </c>
      <c r="L168">
        <v>131.57</v>
      </c>
      <c r="M168">
        <v>0</v>
      </c>
      <c r="N168">
        <v>0</v>
      </c>
      <c r="O168">
        <v>0</v>
      </c>
    </row>
    <row r="169" spans="1:15" ht="15">
      <c r="A169" t="str">
        <f>"0103038633"</f>
        <v>0103038633</v>
      </c>
      <c r="B169" t="s">
        <v>53</v>
      </c>
      <c r="C169" t="str">
        <f t="shared" si="2"/>
        <v>14/01/01</v>
      </c>
      <c r="D169" t="s">
        <v>180</v>
      </c>
      <c r="E169">
        <v>18.87</v>
      </c>
      <c r="F169">
        <v>19.79</v>
      </c>
      <c r="G169">
        <v>0</v>
      </c>
      <c r="H169">
        <v>0</v>
      </c>
      <c r="I169">
        <v>0</v>
      </c>
      <c r="J169">
        <v>0</v>
      </c>
      <c r="K169">
        <v>25.46</v>
      </c>
      <c r="L169">
        <v>0</v>
      </c>
      <c r="M169">
        <v>0</v>
      </c>
      <c r="N169">
        <v>0</v>
      </c>
      <c r="O169">
        <v>0</v>
      </c>
    </row>
    <row r="170" spans="1:15" ht="15">
      <c r="A170" t="str">
        <f>"0058800533"</f>
        <v>0058800533</v>
      </c>
      <c r="B170" t="s">
        <v>18</v>
      </c>
      <c r="C170" t="str">
        <f t="shared" si="2"/>
        <v>14/01/01</v>
      </c>
      <c r="D170" t="s">
        <v>180</v>
      </c>
      <c r="E170">
        <v>20.03</v>
      </c>
      <c r="F170">
        <v>20.8</v>
      </c>
      <c r="G170">
        <v>0</v>
      </c>
      <c r="H170">
        <v>0</v>
      </c>
      <c r="I170">
        <v>0</v>
      </c>
      <c r="J170">
        <v>0</v>
      </c>
      <c r="K170">
        <v>77.23</v>
      </c>
      <c r="L170">
        <v>0</v>
      </c>
      <c r="M170">
        <v>0</v>
      </c>
      <c r="N170">
        <v>0</v>
      </c>
      <c r="O170">
        <v>0</v>
      </c>
    </row>
    <row r="171" spans="1:15" ht="15">
      <c r="A171" t="str">
        <f>"0231917533"</f>
        <v>0231917533</v>
      </c>
      <c r="B171" t="s">
        <v>130</v>
      </c>
      <c r="C171" t="str">
        <f t="shared" si="2"/>
        <v>14/01/01</v>
      </c>
      <c r="D171" t="s">
        <v>180</v>
      </c>
      <c r="E171">
        <v>20.58</v>
      </c>
      <c r="F171">
        <v>21.01</v>
      </c>
      <c r="G171">
        <v>0</v>
      </c>
      <c r="H171">
        <v>210.16</v>
      </c>
      <c r="I171">
        <v>0</v>
      </c>
      <c r="J171">
        <v>0</v>
      </c>
      <c r="K171">
        <v>69.54</v>
      </c>
      <c r="L171">
        <v>0</v>
      </c>
      <c r="M171">
        <v>20.8</v>
      </c>
      <c r="N171">
        <v>18.86</v>
      </c>
      <c r="O171">
        <v>188.61</v>
      </c>
    </row>
    <row r="172" spans="1:15" ht="15">
      <c r="A172" t="str">
        <f>"0105243733"</f>
        <v>0105243733</v>
      </c>
      <c r="B172" t="s">
        <v>56</v>
      </c>
      <c r="C172" t="str">
        <f t="shared" si="2"/>
        <v>14/01/01</v>
      </c>
      <c r="D172" t="s">
        <v>180</v>
      </c>
      <c r="E172">
        <v>22.18</v>
      </c>
      <c r="F172">
        <v>23.15</v>
      </c>
      <c r="G172">
        <v>26.18</v>
      </c>
      <c r="H172">
        <v>261.73</v>
      </c>
      <c r="I172">
        <v>23.21</v>
      </c>
      <c r="J172">
        <v>24.04</v>
      </c>
      <c r="K172">
        <v>154.43</v>
      </c>
      <c r="L172">
        <v>0</v>
      </c>
      <c r="M172">
        <v>21.04</v>
      </c>
      <c r="N172">
        <v>23.41</v>
      </c>
      <c r="O172">
        <v>254.67</v>
      </c>
    </row>
    <row r="173" spans="1:15" ht="15">
      <c r="A173" t="str">
        <f>"0302858034"</f>
        <v>0302858034</v>
      </c>
      <c r="B173" t="s">
        <v>146</v>
      </c>
      <c r="C173" t="str">
        <f t="shared" si="2"/>
        <v>14/01/01</v>
      </c>
      <c r="D173" t="s">
        <v>170</v>
      </c>
      <c r="E173">
        <v>23.33</v>
      </c>
      <c r="F173">
        <v>23.35</v>
      </c>
      <c r="G173">
        <v>0</v>
      </c>
      <c r="H173">
        <v>0</v>
      </c>
      <c r="I173">
        <v>0</v>
      </c>
      <c r="J173">
        <v>0</v>
      </c>
      <c r="K173">
        <v>142.27</v>
      </c>
      <c r="L173">
        <v>142.33</v>
      </c>
      <c r="M173">
        <v>0</v>
      </c>
      <c r="N173">
        <v>0</v>
      </c>
      <c r="O173">
        <v>0</v>
      </c>
    </row>
    <row r="174" spans="1:15" ht="15">
      <c r="A174" t="str">
        <f>"0194568834"</f>
        <v>0194568834</v>
      </c>
      <c r="B174" t="s">
        <v>116</v>
      </c>
      <c r="C174" t="str">
        <f t="shared" si="2"/>
        <v>14/01/01</v>
      </c>
      <c r="D174" t="s">
        <v>170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16.62</v>
      </c>
      <c r="N174">
        <v>18.03</v>
      </c>
      <c r="O174">
        <v>0</v>
      </c>
    </row>
    <row r="175" spans="1:15" ht="15">
      <c r="A175" t="str">
        <f>"0182358734"</f>
        <v>0182358734</v>
      </c>
      <c r="B175" t="s">
        <v>114</v>
      </c>
      <c r="C175" t="str">
        <f t="shared" si="2"/>
        <v>14/01/01</v>
      </c>
      <c r="D175" t="s">
        <v>170</v>
      </c>
      <c r="E175">
        <v>24.93</v>
      </c>
      <c r="F175">
        <v>24.93</v>
      </c>
      <c r="G175">
        <v>0</v>
      </c>
      <c r="H175">
        <v>0</v>
      </c>
      <c r="I175">
        <v>0</v>
      </c>
      <c r="J175">
        <v>0</v>
      </c>
      <c r="K175">
        <v>53.04</v>
      </c>
      <c r="L175">
        <v>106.08</v>
      </c>
      <c r="M175">
        <v>0</v>
      </c>
      <c r="N175">
        <v>0</v>
      </c>
      <c r="O175">
        <v>0</v>
      </c>
    </row>
    <row r="176" spans="1:15" ht="15">
      <c r="A176" t="str">
        <f>"0147051134"</f>
        <v>0147051134</v>
      </c>
      <c r="B176" t="s">
        <v>82</v>
      </c>
      <c r="C176" t="str">
        <f t="shared" si="2"/>
        <v>14/01/01</v>
      </c>
      <c r="D176" t="s">
        <v>170</v>
      </c>
      <c r="E176">
        <v>26.4</v>
      </c>
      <c r="F176">
        <v>25.72</v>
      </c>
      <c r="G176">
        <v>28.31</v>
      </c>
      <c r="H176">
        <v>0</v>
      </c>
      <c r="I176">
        <v>27.97</v>
      </c>
      <c r="J176">
        <v>27.12</v>
      </c>
      <c r="K176">
        <v>114.82</v>
      </c>
      <c r="L176">
        <v>114.82</v>
      </c>
      <c r="M176">
        <v>0</v>
      </c>
      <c r="N176">
        <v>0</v>
      </c>
      <c r="O176">
        <v>0</v>
      </c>
    </row>
    <row r="177" spans="1:15" ht="15">
      <c r="A177" t="str">
        <f>"0231917534"</f>
        <v>0231917534</v>
      </c>
      <c r="B177" t="s">
        <v>131</v>
      </c>
      <c r="C177" t="str">
        <f t="shared" si="2"/>
        <v>14/01/01</v>
      </c>
      <c r="D177" t="s">
        <v>170</v>
      </c>
      <c r="E177">
        <v>17.94</v>
      </c>
      <c r="F177">
        <v>17.94</v>
      </c>
      <c r="G177">
        <v>0</v>
      </c>
      <c r="H177">
        <v>179.31</v>
      </c>
      <c r="I177">
        <v>0</v>
      </c>
      <c r="J177">
        <v>0</v>
      </c>
      <c r="K177">
        <v>59.79</v>
      </c>
      <c r="L177">
        <v>0</v>
      </c>
      <c r="M177">
        <v>16.67</v>
      </c>
      <c r="N177">
        <v>17.94</v>
      </c>
      <c r="O177">
        <v>179.29</v>
      </c>
    </row>
    <row r="178" spans="1:15" ht="15">
      <c r="A178" t="str">
        <f>"0035491234"</f>
        <v>0035491234</v>
      </c>
      <c r="B178" t="s">
        <v>7</v>
      </c>
      <c r="C178" t="str">
        <f t="shared" si="2"/>
        <v>14/01/01</v>
      </c>
      <c r="D178" t="s">
        <v>170</v>
      </c>
      <c r="E178">
        <v>26.16</v>
      </c>
      <c r="F178">
        <v>21.59</v>
      </c>
      <c r="G178">
        <v>29.9</v>
      </c>
      <c r="H178">
        <v>318.24</v>
      </c>
      <c r="I178">
        <v>28.19</v>
      </c>
      <c r="J178">
        <v>27.34</v>
      </c>
      <c r="K178">
        <v>164.93</v>
      </c>
      <c r="L178">
        <v>164.93</v>
      </c>
      <c r="M178">
        <v>23.76</v>
      </c>
      <c r="N178">
        <v>26.65</v>
      </c>
      <c r="O178">
        <v>282.23</v>
      </c>
    </row>
    <row r="179" spans="1:15" ht="15">
      <c r="A179" t="str">
        <f>"0128098235"</f>
        <v>0128098235</v>
      </c>
      <c r="B179" t="s">
        <v>69</v>
      </c>
      <c r="C179" t="str">
        <f t="shared" si="2"/>
        <v>14/01/01</v>
      </c>
      <c r="D179" t="s">
        <v>171</v>
      </c>
      <c r="E179">
        <v>23.15</v>
      </c>
      <c r="F179">
        <v>24.13</v>
      </c>
      <c r="G179">
        <v>23.98</v>
      </c>
      <c r="H179">
        <v>269.44</v>
      </c>
      <c r="I179">
        <v>21.48</v>
      </c>
      <c r="J179">
        <v>22.33</v>
      </c>
      <c r="K179">
        <v>137.87</v>
      </c>
      <c r="L179">
        <v>135.59</v>
      </c>
      <c r="M179">
        <v>21.47</v>
      </c>
      <c r="N179">
        <v>23.03</v>
      </c>
      <c r="O179">
        <v>242.81</v>
      </c>
    </row>
    <row r="180" spans="1:15" ht="15">
      <c r="A180" t="str">
        <f>"0099143335"</f>
        <v>0099143335</v>
      </c>
      <c r="B180" t="s">
        <v>50</v>
      </c>
      <c r="C180" t="str">
        <f t="shared" si="2"/>
        <v>14/01/01</v>
      </c>
      <c r="D180" t="s">
        <v>171</v>
      </c>
      <c r="E180">
        <v>19.81</v>
      </c>
      <c r="F180">
        <v>21.12</v>
      </c>
      <c r="G180">
        <v>28.13</v>
      </c>
      <c r="H180">
        <v>291.72</v>
      </c>
      <c r="I180">
        <v>28.06</v>
      </c>
      <c r="J180">
        <v>29.29</v>
      </c>
      <c r="K180">
        <v>123.75</v>
      </c>
      <c r="L180">
        <v>139.24</v>
      </c>
      <c r="M180">
        <v>17.66</v>
      </c>
      <c r="N180">
        <v>25.84</v>
      </c>
      <c r="O180">
        <v>206.6</v>
      </c>
    </row>
    <row r="181" spans="1:15" ht="15">
      <c r="A181" t="str">
        <f>"0105254235"</f>
        <v>0105254235</v>
      </c>
      <c r="B181" t="s">
        <v>57</v>
      </c>
      <c r="C181" t="str">
        <f t="shared" si="2"/>
        <v>14/01/01</v>
      </c>
      <c r="D181" t="s">
        <v>171</v>
      </c>
      <c r="E181">
        <v>17.09</v>
      </c>
      <c r="F181">
        <v>17.09</v>
      </c>
      <c r="G181">
        <v>21.17</v>
      </c>
      <c r="H181">
        <v>265.2</v>
      </c>
      <c r="I181">
        <v>21.31</v>
      </c>
      <c r="J181">
        <v>21.31</v>
      </c>
      <c r="K181">
        <v>89.64</v>
      </c>
      <c r="L181">
        <v>88.91</v>
      </c>
      <c r="M181">
        <v>19.38</v>
      </c>
      <c r="N181">
        <v>19.38</v>
      </c>
      <c r="O181">
        <v>244.05</v>
      </c>
    </row>
    <row r="182" spans="1:15" ht="15">
      <c r="A182" t="str">
        <f>"0173848535"</f>
        <v>0173848535</v>
      </c>
      <c r="B182" t="s">
        <v>99</v>
      </c>
      <c r="C182" t="str">
        <f t="shared" si="2"/>
        <v>14/01/01</v>
      </c>
      <c r="D182" t="s">
        <v>171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16.04</v>
      </c>
      <c r="N182">
        <v>16.04</v>
      </c>
      <c r="O182">
        <v>0</v>
      </c>
    </row>
    <row r="183" spans="1:15" ht="15">
      <c r="A183" t="str">
        <f>"0221745835"</f>
        <v>0221745835</v>
      </c>
      <c r="B183" t="s">
        <v>128</v>
      </c>
      <c r="C183" t="str">
        <f t="shared" si="2"/>
        <v>14/01/01</v>
      </c>
      <c r="D183" t="s">
        <v>171</v>
      </c>
      <c r="E183">
        <v>23.05</v>
      </c>
      <c r="F183">
        <v>27.74</v>
      </c>
      <c r="G183">
        <v>0</v>
      </c>
      <c r="H183">
        <v>0</v>
      </c>
      <c r="I183">
        <v>0</v>
      </c>
      <c r="J183">
        <v>0</v>
      </c>
      <c r="K183">
        <v>130.02</v>
      </c>
      <c r="L183">
        <v>130.02</v>
      </c>
      <c r="M183">
        <v>18.81</v>
      </c>
      <c r="N183">
        <v>0</v>
      </c>
      <c r="O183">
        <v>226.44</v>
      </c>
    </row>
    <row r="184" spans="1:15" ht="15">
      <c r="A184" t="str">
        <f>"0206008435"</f>
        <v>0206008435</v>
      </c>
      <c r="B184" t="s">
        <v>121</v>
      </c>
      <c r="C184" t="str">
        <f t="shared" si="2"/>
        <v>14/01/01</v>
      </c>
      <c r="D184" t="s">
        <v>171</v>
      </c>
      <c r="E184">
        <v>0</v>
      </c>
      <c r="F184">
        <v>18.61</v>
      </c>
      <c r="G184">
        <v>0</v>
      </c>
      <c r="H184">
        <v>229.2</v>
      </c>
      <c r="I184">
        <v>0</v>
      </c>
      <c r="J184">
        <v>0</v>
      </c>
      <c r="K184">
        <v>53.04</v>
      </c>
      <c r="L184">
        <v>0</v>
      </c>
      <c r="M184">
        <v>0</v>
      </c>
      <c r="N184">
        <v>0</v>
      </c>
      <c r="O184">
        <v>0</v>
      </c>
    </row>
    <row r="185" spans="1:15" ht="15">
      <c r="A185" t="str">
        <f>"0179895235"</f>
        <v>0179895235</v>
      </c>
      <c r="B185" t="s">
        <v>113</v>
      </c>
      <c r="C185" t="str">
        <f t="shared" si="2"/>
        <v>14/01/01</v>
      </c>
      <c r="D185" t="s">
        <v>171</v>
      </c>
      <c r="E185">
        <v>21.4</v>
      </c>
      <c r="F185">
        <v>21.09</v>
      </c>
      <c r="G185">
        <v>23.02</v>
      </c>
      <c r="H185">
        <v>253.67</v>
      </c>
      <c r="I185">
        <v>21.43</v>
      </c>
      <c r="J185">
        <v>22.28</v>
      </c>
      <c r="K185">
        <v>77.23</v>
      </c>
      <c r="L185">
        <v>77.23</v>
      </c>
      <c r="M185">
        <v>18.8</v>
      </c>
      <c r="N185">
        <v>20.36</v>
      </c>
      <c r="O185">
        <v>230.42</v>
      </c>
    </row>
    <row r="186" spans="1:15" ht="15">
      <c r="A186" t="str">
        <f>"0324945635"</f>
        <v>0324945635</v>
      </c>
      <c r="B186" t="s">
        <v>150</v>
      </c>
      <c r="C186" t="str">
        <f t="shared" si="2"/>
        <v>14/01/01</v>
      </c>
      <c r="D186" t="s">
        <v>171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16.9</v>
      </c>
      <c r="N186">
        <v>18.71</v>
      </c>
      <c r="O186">
        <v>179.44</v>
      </c>
    </row>
    <row r="187" spans="1:15" ht="15">
      <c r="A187" t="str">
        <f>"0173893035"</f>
        <v>0173893035</v>
      </c>
      <c r="B187" t="s">
        <v>100</v>
      </c>
      <c r="C187" t="str">
        <f t="shared" si="2"/>
        <v>14/01/01</v>
      </c>
      <c r="D187" t="s">
        <v>171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15.86</v>
      </c>
      <c r="N187">
        <v>0</v>
      </c>
      <c r="O187">
        <v>0</v>
      </c>
    </row>
    <row r="188" spans="1:15" ht="15">
      <c r="A188" t="str">
        <f>"0091059035"</f>
        <v>0091059035</v>
      </c>
      <c r="B188" t="s">
        <v>38</v>
      </c>
      <c r="C188" t="str">
        <f t="shared" si="2"/>
        <v>14/01/01</v>
      </c>
      <c r="D188" t="s">
        <v>171</v>
      </c>
      <c r="E188">
        <v>17.29</v>
      </c>
      <c r="F188">
        <v>19.53</v>
      </c>
      <c r="G188">
        <v>23.65</v>
      </c>
      <c r="H188">
        <v>249.3</v>
      </c>
      <c r="I188">
        <v>18.65</v>
      </c>
      <c r="J188">
        <v>18.7</v>
      </c>
      <c r="K188">
        <v>56.17</v>
      </c>
      <c r="L188">
        <v>95.41</v>
      </c>
      <c r="M188">
        <v>17.37</v>
      </c>
      <c r="N188">
        <v>20.67</v>
      </c>
      <c r="O188">
        <v>211.04</v>
      </c>
    </row>
    <row r="189" spans="1:15" ht="15">
      <c r="A189" t="str">
        <f>"0174097235"</f>
        <v>0174097235</v>
      </c>
      <c r="B189" t="s">
        <v>101</v>
      </c>
      <c r="C189" t="str">
        <f t="shared" si="2"/>
        <v>14/01/01</v>
      </c>
      <c r="D189" t="s">
        <v>171</v>
      </c>
      <c r="E189">
        <v>19.39</v>
      </c>
      <c r="F189">
        <v>19.06</v>
      </c>
      <c r="G189">
        <v>19.38</v>
      </c>
      <c r="H189">
        <v>228.38</v>
      </c>
      <c r="I189">
        <v>19.39</v>
      </c>
      <c r="J189">
        <v>19.39</v>
      </c>
      <c r="K189">
        <v>92.28</v>
      </c>
      <c r="L189">
        <v>69.76</v>
      </c>
      <c r="M189">
        <v>19.4</v>
      </c>
      <c r="N189">
        <v>21.16</v>
      </c>
      <c r="O189">
        <v>0</v>
      </c>
    </row>
    <row r="190" spans="1:15" ht="15">
      <c r="A190" t="str">
        <f>"0255401635"</f>
        <v>0255401635</v>
      </c>
      <c r="B190" t="s">
        <v>135</v>
      </c>
      <c r="C190" t="str">
        <f t="shared" si="2"/>
        <v>14/01/01</v>
      </c>
      <c r="D190" t="s">
        <v>171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16.62</v>
      </c>
      <c r="N190">
        <v>23.05</v>
      </c>
      <c r="O190">
        <v>207.47</v>
      </c>
    </row>
    <row r="191" spans="1:15" ht="15">
      <c r="A191" t="str">
        <f>"0035491235"</f>
        <v>0035491235</v>
      </c>
      <c r="B191" t="s">
        <v>7</v>
      </c>
      <c r="C191" t="str">
        <f t="shared" si="2"/>
        <v>14/01/01</v>
      </c>
      <c r="D191" t="s">
        <v>171</v>
      </c>
      <c r="E191">
        <v>19.61</v>
      </c>
      <c r="F191">
        <v>20.41</v>
      </c>
      <c r="G191">
        <v>22.58</v>
      </c>
      <c r="H191">
        <v>247.2</v>
      </c>
      <c r="I191">
        <v>27.6</v>
      </c>
      <c r="J191">
        <v>28.45</v>
      </c>
      <c r="K191">
        <v>91.29</v>
      </c>
      <c r="L191">
        <v>91.42</v>
      </c>
      <c r="M191">
        <v>16.44</v>
      </c>
      <c r="N191">
        <v>25.99</v>
      </c>
      <c r="O191">
        <v>283.53</v>
      </c>
    </row>
    <row r="192" spans="1:15" ht="15">
      <c r="A192" t="str">
        <f>"0092528235"</f>
        <v>0092528235</v>
      </c>
      <c r="B192" t="s">
        <v>42</v>
      </c>
      <c r="C192" t="str">
        <f t="shared" si="2"/>
        <v>14/01/01</v>
      </c>
      <c r="D192" t="s">
        <v>171</v>
      </c>
      <c r="E192">
        <v>23.87</v>
      </c>
      <c r="F192">
        <v>23.87</v>
      </c>
      <c r="G192">
        <v>0</v>
      </c>
      <c r="H192">
        <v>0</v>
      </c>
      <c r="I192">
        <v>0</v>
      </c>
      <c r="J192">
        <v>0</v>
      </c>
      <c r="K192">
        <v>72.76</v>
      </c>
      <c r="L192">
        <v>0</v>
      </c>
      <c r="M192">
        <v>0</v>
      </c>
      <c r="N192">
        <v>0</v>
      </c>
      <c r="O192">
        <v>0</v>
      </c>
    </row>
    <row r="193" spans="1:15" ht="15">
      <c r="A193" t="str">
        <f>"0194568836"</f>
        <v>0194568836</v>
      </c>
      <c r="B193" t="s">
        <v>116</v>
      </c>
      <c r="C193" t="str">
        <f t="shared" si="2"/>
        <v>14/01/01</v>
      </c>
      <c r="D193" t="s">
        <v>194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14.49</v>
      </c>
      <c r="N193">
        <v>18.99</v>
      </c>
      <c r="O193">
        <v>0</v>
      </c>
    </row>
    <row r="194" spans="1:15" ht="15">
      <c r="A194" t="str">
        <f>"0081106936"</f>
        <v>0081106936</v>
      </c>
      <c r="B194" t="s">
        <v>28</v>
      </c>
      <c r="C194" t="str">
        <f t="shared" si="2"/>
        <v>14/01/01</v>
      </c>
      <c r="D194" t="s">
        <v>194</v>
      </c>
      <c r="E194">
        <v>20.76</v>
      </c>
      <c r="F194">
        <v>13.93</v>
      </c>
      <c r="G194">
        <v>23.87</v>
      </c>
      <c r="H194">
        <v>222.64</v>
      </c>
      <c r="I194">
        <v>23.49</v>
      </c>
      <c r="J194">
        <v>22.88</v>
      </c>
      <c r="K194">
        <v>72.41</v>
      </c>
      <c r="L194">
        <v>95.47</v>
      </c>
      <c r="M194">
        <v>18.54</v>
      </c>
      <c r="N194">
        <v>21.03</v>
      </c>
      <c r="O194">
        <v>219.81</v>
      </c>
    </row>
    <row r="195" spans="1:15" ht="15">
      <c r="A195" t="str">
        <f>"0173391737"</f>
        <v>0173391737</v>
      </c>
      <c r="B195" t="s">
        <v>98</v>
      </c>
      <c r="C195" t="str">
        <f t="shared" si="2"/>
        <v>14/01/01</v>
      </c>
      <c r="D195" t="s">
        <v>182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17.5</v>
      </c>
      <c r="N195">
        <v>0</v>
      </c>
      <c r="O195">
        <v>0</v>
      </c>
    </row>
    <row r="196" spans="1:15" ht="15">
      <c r="A196" t="str">
        <f>"0058802337"</f>
        <v>0058802337</v>
      </c>
      <c r="B196" t="s">
        <v>20</v>
      </c>
      <c r="C196" t="str">
        <f t="shared" si="2"/>
        <v>14/01/01</v>
      </c>
      <c r="D196" t="s">
        <v>182</v>
      </c>
      <c r="E196">
        <v>20.6</v>
      </c>
      <c r="F196">
        <v>20.6</v>
      </c>
      <c r="G196">
        <v>0</v>
      </c>
      <c r="H196">
        <v>0</v>
      </c>
      <c r="I196">
        <v>0</v>
      </c>
      <c r="J196">
        <v>0</v>
      </c>
      <c r="K196">
        <v>138.11</v>
      </c>
      <c r="L196">
        <v>138.14</v>
      </c>
      <c r="M196">
        <v>0</v>
      </c>
      <c r="N196">
        <v>0</v>
      </c>
      <c r="O196">
        <v>0</v>
      </c>
    </row>
    <row r="197" spans="1:15" ht="15">
      <c r="A197" t="str">
        <f>"0105243737"</f>
        <v>0105243737</v>
      </c>
      <c r="B197" t="s">
        <v>56</v>
      </c>
      <c r="C197" t="str">
        <f t="shared" si="2"/>
        <v>14/01/01</v>
      </c>
      <c r="D197" t="s">
        <v>182</v>
      </c>
      <c r="E197">
        <v>20.38</v>
      </c>
      <c r="F197">
        <v>21.84</v>
      </c>
      <c r="G197">
        <v>27.86</v>
      </c>
      <c r="H197">
        <v>277.93</v>
      </c>
      <c r="I197">
        <v>27.52</v>
      </c>
      <c r="J197">
        <v>27.61</v>
      </c>
      <c r="K197">
        <v>155.33</v>
      </c>
      <c r="L197">
        <v>0</v>
      </c>
      <c r="M197">
        <v>21.47</v>
      </c>
      <c r="N197">
        <v>23.86</v>
      </c>
      <c r="O197">
        <v>242.45</v>
      </c>
    </row>
    <row r="198" spans="1:15" ht="15">
      <c r="A198" t="str">
        <f>"0268995838"</f>
        <v>0268995838</v>
      </c>
      <c r="B198" t="s">
        <v>137</v>
      </c>
      <c r="C198" t="str">
        <f t="shared" si="2"/>
        <v>14/01/01</v>
      </c>
      <c r="D198" t="s">
        <v>207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164.93</v>
      </c>
      <c r="M198">
        <v>0</v>
      </c>
      <c r="N198">
        <v>0</v>
      </c>
      <c r="O198">
        <v>0</v>
      </c>
    </row>
    <row r="199" spans="1:15" ht="15">
      <c r="A199" t="str">
        <f>"0097412138"</f>
        <v>0097412138</v>
      </c>
      <c r="B199" t="s">
        <v>47</v>
      </c>
      <c r="C199" t="str">
        <f aca="true" t="shared" si="3" ref="C199:C262">"14/01/01"</f>
        <v>14/01/01</v>
      </c>
      <c r="D199" t="s">
        <v>207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12.97</v>
      </c>
      <c r="N199">
        <v>16.37</v>
      </c>
      <c r="O199">
        <v>0</v>
      </c>
    </row>
    <row r="200" spans="1:15" ht="15">
      <c r="A200" t="str">
        <f>"0170109138"</f>
        <v>0170109138</v>
      </c>
      <c r="B200" t="s">
        <v>92</v>
      </c>
      <c r="C200" t="str">
        <f t="shared" si="3"/>
        <v>14/01/01</v>
      </c>
      <c r="D200" t="s">
        <v>207</v>
      </c>
      <c r="E200">
        <v>19.67</v>
      </c>
      <c r="F200">
        <v>17.94</v>
      </c>
      <c r="G200">
        <v>27.37</v>
      </c>
      <c r="H200">
        <v>255.62</v>
      </c>
      <c r="I200">
        <v>27.16</v>
      </c>
      <c r="J200">
        <v>26.42</v>
      </c>
      <c r="K200">
        <v>82.49</v>
      </c>
      <c r="L200">
        <v>82.49</v>
      </c>
      <c r="M200">
        <v>17.49</v>
      </c>
      <c r="N200">
        <v>17.41</v>
      </c>
      <c r="O200">
        <v>204.41</v>
      </c>
    </row>
    <row r="201" spans="1:15" ht="15">
      <c r="A201" t="str">
        <f>"0296748039"</f>
        <v>0296748039</v>
      </c>
      <c r="B201" t="s">
        <v>140</v>
      </c>
      <c r="C201" t="str">
        <f t="shared" si="3"/>
        <v>14/01/01</v>
      </c>
      <c r="D201" t="s">
        <v>172</v>
      </c>
      <c r="E201">
        <v>19.36</v>
      </c>
      <c r="F201">
        <v>19.59</v>
      </c>
      <c r="G201">
        <v>19.36</v>
      </c>
      <c r="H201">
        <v>204.24</v>
      </c>
      <c r="I201">
        <v>19.36</v>
      </c>
      <c r="J201">
        <v>19.36</v>
      </c>
      <c r="K201">
        <v>79.56</v>
      </c>
      <c r="L201">
        <v>82.49</v>
      </c>
      <c r="M201">
        <v>18.77</v>
      </c>
      <c r="N201">
        <v>20.47</v>
      </c>
      <c r="O201">
        <v>0</v>
      </c>
    </row>
    <row r="202" spans="1:15" ht="15">
      <c r="A202" t="str">
        <f>"0128098239"</f>
        <v>0128098239</v>
      </c>
      <c r="B202" t="s">
        <v>69</v>
      </c>
      <c r="C202" t="str">
        <f t="shared" si="3"/>
        <v>14/01/01</v>
      </c>
      <c r="D202" t="s">
        <v>172</v>
      </c>
      <c r="E202">
        <v>25.99</v>
      </c>
      <c r="F202">
        <v>24.4</v>
      </c>
      <c r="G202">
        <v>25.99</v>
      </c>
      <c r="H202">
        <v>254.17</v>
      </c>
      <c r="I202">
        <v>24.48</v>
      </c>
      <c r="J202">
        <v>25.78</v>
      </c>
      <c r="K202">
        <v>159.12</v>
      </c>
      <c r="L202">
        <v>159.12</v>
      </c>
      <c r="M202">
        <v>20.37</v>
      </c>
      <c r="N202">
        <v>21.93</v>
      </c>
      <c r="O202">
        <v>234.91</v>
      </c>
    </row>
    <row r="203" spans="1:15" ht="15">
      <c r="A203" t="str">
        <f>"0099157539"</f>
        <v>0099157539</v>
      </c>
      <c r="B203" t="s">
        <v>52</v>
      </c>
      <c r="C203" t="str">
        <f t="shared" si="3"/>
        <v>14/01/01</v>
      </c>
      <c r="D203" t="s">
        <v>172</v>
      </c>
      <c r="E203">
        <v>26.67</v>
      </c>
      <c r="F203">
        <v>23.74</v>
      </c>
      <c r="G203">
        <v>31.29</v>
      </c>
      <c r="H203">
        <v>297.1</v>
      </c>
      <c r="I203">
        <v>32.17</v>
      </c>
      <c r="J203">
        <v>31.03</v>
      </c>
      <c r="K203">
        <v>136.99</v>
      </c>
      <c r="L203">
        <v>136.99</v>
      </c>
      <c r="M203">
        <v>20.32</v>
      </c>
      <c r="N203">
        <v>27.34</v>
      </c>
      <c r="O203">
        <v>281.21</v>
      </c>
    </row>
    <row r="204" spans="1:15" ht="15">
      <c r="A204" t="str">
        <f>"0099143339"</f>
        <v>0099143339</v>
      </c>
      <c r="B204" t="s">
        <v>50</v>
      </c>
      <c r="C204" t="str">
        <f t="shared" si="3"/>
        <v>14/01/01</v>
      </c>
      <c r="D204" t="s">
        <v>172</v>
      </c>
      <c r="E204">
        <v>24.98</v>
      </c>
      <c r="F204">
        <v>25.65</v>
      </c>
      <c r="G204">
        <v>23.89</v>
      </c>
      <c r="H204">
        <v>234.98</v>
      </c>
      <c r="I204">
        <v>30.29</v>
      </c>
      <c r="J204">
        <v>26.49</v>
      </c>
      <c r="K204">
        <v>164.98</v>
      </c>
      <c r="L204">
        <v>164.98</v>
      </c>
      <c r="M204">
        <v>25.34</v>
      </c>
      <c r="N204">
        <v>25.28</v>
      </c>
      <c r="O204">
        <v>286.66</v>
      </c>
    </row>
    <row r="205" spans="1:15" ht="15">
      <c r="A205" t="str">
        <f>"0035491239"</f>
        <v>0035491239</v>
      </c>
      <c r="B205" t="s">
        <v>7</v>
      </c>
      <c r="C205" t="str">
        <f t="shared" si="3"/>
        <v>14/01/01</v>
      </c>
      <c r="D205" t="s">
        <v>172</v>
      </c>
      <c r="E205">
        <v>22.26</v>
      </c>
      <c r="F205">
        <v>22.4</v>
      </c>
      <c r="G205">
        <v>28.86</v>
      </c>
      <c r="H205">
        <v>232.63</v>
      </c>
      <c r="I205">
        <v>27.18</v>
      </c>
      <c r="J205">
        <v>26.4</v>
      </c>
      <c r="K205">
        <v>162.18</v>
      </c>
      <c r="L205">
        <v>162.18</v>
      </c>
      <c r="M205">
        <v>16.44</v>
      </c>
      <c r="N205">
        <v>17.93</v>
      </c>
      <c r="O205">
        <v>194.39</v>
      </c>
    </row>
    <row r="206" spans="1:15" ht="15">
      <c r="A206" t="str">
        <f>"0146034239"</f>
        <v>0146034239</v>
      </c>
      <c r="B206" t="s">
        <v>79</v>
      </c>
      <c r="C206" t="str">
        <f t="shared" si="3"/>
        <v>14/01/01</v>
      </c>
      <c r="D206" t="s">
        <v>172</v>
      </c>
      <c r="E206">
        <v>0</v>
      </c>
      <c r="F206">
        <v>18.31</v>
      </c>
      <c r="G206">
        <v>0</v>
      </c>
      <c r="H206">
        <v>191.93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</row>
    <row r="207" spans="1:15" ht="15">
      <c r="A207" t="str">
        <f>"0134883841"</f>
        <v>0134883841</v>
      </c>
      <c r="B207" t="s">
        <v>73</v>
      </c>
      <c r="C207" t="str">
        <f t="shared" si="3"/>
        <v>14/01/01</v>
      </c>
      <c r="D207" t="s">
        <v>195</v>
      </c>
      <c r="E207">
        <v>18.31</v>
      </c>
      <c r="F207">
        <v>21.67</v>
      </c>
      <c r="G207">
        <v>20.08</v>
      </c>
      <c r="H207">
        <v>194.55</v>
      </c>
      <c r="I207">
        <v>19.11</v>
      </c>
      <c r="J207">
        <v>18.51</v>
      </c>
      <c r="K207">
        <v>89.66</v>
      </c>
      <c r="L207">
        <v>84.08</v>
      </c>
      <c r="M207">
        <v>16.67</v>
      </c>
      <c r="N207">
        <v>16.99</v>
      </c>
      <c r="O207">
        <v>0</v>
      </c>
    </row>
    <row r="208" spans="1:15" ht="15">
      <c r="A208" t="str">
        <f>"0106459341"</f>
        <v>0106459341</v>
      </c>
      <c r="B208" t="s">
        <v>59</v>
      </c>
      <c r="C208" t="str">
        <f t="shared" si="3"/>
        <v>14/01/01</v>
      </c>
      <c r="D208" t="s">
        <v>195</v>
      </c>
      <c r="E208">
        <v>19.94</v>
      </c>
      <c r="F208">
        <v>19.93</v>
      </c>
      <c r="G208">
        <v>19.48</v>
      </c>
      <c r="H208">
        <v>0</v>
      </c>
      <c r="I208">
        <v>21.28</v>
      </c>
      <c r="J208">
        <v>20.43</v>
      </c>
      <c r="K208">
        <v>87.39</v>
      </c>
      <c r="L208">
        <v>87.38</v>
      </c>
      <c r="M208">
        <v>0</v>
      </c>
      <c r="N208">
        <v>0</v>
      </c>
      <c r="O208">
        <v>0</v>
      </c>
    </row>
    <row r="209" spans="1:15" ht="15">
      <c r="A209" t="str">
        <f>"0084696041"</f>
        <v>0084696041</v>
      </c>
      <c r="B209" t="s">
        <v>30</v>
      </c>
      <c r="C209" t="str">
        <f t="shared" si="3"/>
        <v>14/01/01</v>
      </c>
      <c r="D209" t="s">
        <v>195</v>
      </c>
      <c r="E209">
        <v>15.58</v>
      </c>
      <c r="F209">
        <v>17.35</v>
      </c>
      <c r="G209">
        <v>23.28</v>
      </c>
      <c r="H209">
        <v>230.68</v>
      </c>
      <c r="I209">
        <v>25.23</v>
      </c>
      <c r="J209">
        <v>24.42</v>
      </c>
      <c r="K209">
        <v>100.3</v>
      </c>
      <c r="L209">
        <v>0</v>
      </c>
      <c r="M209">
        <v>21.44</v>
      </c>
      <c r="N209">
        <v>23.75</v>
      </c>
      <c r="O209">
        <v>219.8</v>
      </c>
    </row>
    <row r="210" spans="1:15" ht="15">
      <c r="A210" t="str">
        <f>"0099143341"</f>
        <v>0099143341</v>
      </c>
      <c r="B210" t="s">
        <v>50</v>
      </c>
      <c r="C210" t="str">
        <f t="shared" si="3"/>
        <v>14/01/01</v>
      </c>
      <c r="D210" t="s">
        <v>195</v>
      </c>
      <c r="E210">
        <v>22.27</v>
      </c>
      <c r="F210">
        <v>22.57</v>
      </c>
      <c r="G210">
        <v>28.99</v>
      </c>
      <c r="H210">
        <v>314.99</v>
      </c>
      <c r="I210">
        <v>30.39</v>
      </c>
      <c r="J210">
        <v>26.51</v>
      </c>
      <c r="K210">
        <v>133.26</v>
      </c>
      <c r="L210">
        <v>162.81</v>
      </c>
      <c r="M210">
        <v>25.37</v>
      </c>
      <c r="N210">
        <v>24.91</v>
      </c>
      <c r="O210">
        <v>283.07</v>
      </c>
    </row>
    <row r="211" spans="1:15" ht="15">
      <c r="A211" t="str">
        <f>"0090869041"</f>
        <v>0090869041</v>
      </c>
      <c r="B211" t="s">
        <v>31</v>
      </c>
      <c r="C211" t="str">
        <f t="shared" si="3"/>
        <v>14/01/01</v>
      </c>
      <c r="D211" t="s">
        <v>195</v>
      </c>
      <c r="E211">
        <v>17.82</v>
      </c>
      <c r="F211">
        <v>19.48</v>
      </c>
      <c r="G211">
        <v>24.75</v>
      </c>
      <c r="H211">
        <v>258.87</v>
      </c>
      <c r="I211">
        <v>25.98</v>
      </c>
      <c r="J211">
        <v>25.47</v>
      </c>
      <c r="K211">
        <v>123.51</v>
      </c>
      <c r="L211">
        <v>143.87</v>
      </c>
      <c r="M211">
        <v>19.95</v>
      </c>
      <c r="N211">
        <v>22.51</v>
      </c>
      <c r="O211">
        <v>0</v>
      </c>
    </row>
    <row r="212" spans="1:15" ht="15">
      <c r="A212" t="str">
        <f>"0215044341"</f>
        <v>0215044341</v>
      </c>
      <c r="B212" t="s">
        <v>124</v>
      </c>
      <c r="C212" t="str">
        <f t="shared" si="3"/>
        <v>14/01/01</v>
      </c>
      <c r="D212" t="s">
        <v>195</v>
      </c>
      <c r="E212">
        <v>21.52</v>
      </c>
      <c r="F212">
        <v>21.26</v>
      </c>
      <c r="G212">
        <v>0</v>
      </c>
      <c r="H212">
        <v>0</v>
      </c>
      <c r="I212">
        <v>0</v>
      </c>
      <c r="J212">
        <v>0</v>
      </c>
      <c r="K212">
        <v>93.6</v>
      </c>
      <c r="L212">
        <v>0</v>
      </c>
      <c r="M212">
        <v>0</v>
      </c>
      <c r="N212">
        <v>0</v>
      </c>
      <c r="O212">
        <v>0</v>
      </c>
    </row>
    <row r="213" spans="1:15" ht="15">
      <c r="A213" t="str">
        <f>"0217285641"</f>
        <v>0217285641</v>
      </c>
      <c r="B213" t="s">
        <v>127</v>
      </c>
      <c r="C213" t="str">
        <f t="shared" si="3"/>
        <v>14/01/01</v>
      </c>
      <c r="D213" t="s">
        <v>195</v>
      </c>
      <c r="E213">
        <v>19.86</v>
      </c>
      <c r="F213">
        <v>19.99</v>
      </c>
      <c r="G213">
        <v>0</v>
      </c>
      <c r="H213">
        <v>0</v>
      </c>
      <c r="I213">
        <v>0</v>
      </c>
      <c r="J213">
        <v>0</v>
      </c>
      <c r="K213">
        <v>79.56</v>
      </c>
      <c r="L213">
        <v>127.89</v>
      </c>
      <c r="M213">
        <v>0</v>
      </c>
      <c r="N213">
        <v>0</v>
      </c>
      <c r="O213">
        <v>0</v>
      </c>
    </row>
    <row r="214" spans="1:15" ht="15">
      <c r="A214" t="str">
        <f>"0200188941"</f>
        <v>0200188941</v>
      </c>
      <c r="B214" t="s">
        <v>119</v>
      </c>
      <c r="C214" t="str">
        <f t="shared" si="3"/>
        <v>14/01/01</v>
      </c>
      <c r="D214" t="s">
        <v>195</v>
      </c>
      <c r="E214">
        <v>0</v>
      </c>
      <c r="F214">
        <v>20.95</v>
      </c>
      <c r="G214">
        <v>0</v>
      </c>
      <c r="H214">
        <v>0</v>
      </c>
      <c r="I214">
        <v>0</v>
      </c>
      <c r="J214">
        <v>0</v>
      </c>
      <c r="K214">
        <v>88.68</v>
      </c>
      <c r="L214">
        <v>88.68</v>
      </c>
      <c r="M214">
        <v>0</v>
      </c>
      <c r="N214">
        <v>0</v>
      </c>
      <c r="O214">
        <v>0</v>
      </c>
    </row>
    <row r="215" spans="1:15" ht="15">
      <c r="A215" t="str">
        <f>"0170109141"</f>
        <v>0170109141</v>
      </c>
      <c r="B215" t="s">
        <v>92</v>
      </c>
      <c r="C215" t="str">
        <f t="shared" si="3"/>
        <v>14/01/01</v>
      </c>
      <c r="D215" t="s">
        <v>195</v>
      </c>
      <c r="E215">
        <v>18.34</v>
      </c>
      <c r="F215">
        <v>18.26</v>
      </c>
      <c r="G215">
        <v>27.76</v>
      </c>
      <c r="H215">
        <v>296.27</v>
      </c>
      <c r="I215">
        <v>27.42</v>
      </c>
      <c r="J215">
        <v>26.72</v>
      </c>
      <c r="K215">
        <v>83</v>
      </c>
      <c r="L215">
        <v>83</v>
      </c>
      <c r="M215">
        <v>17.73</v>
      </c>
      <c r="N215">
        <v>18.51</v>
      </c>
      <c r="O215">
        <v>236.69</v>
      </c>
    </row>
    <row r="216" spans="1:15" ht="15">
      <c r="A216" t="str">
        <f>"0128098243"</f>
        <v>0128098243</v>
      </c>
      <c r="B216" t="s">
        <v>69</v>
      </c>
      <c r="C216" t="str">
        <f t="shared" si="3"/>
        <v>14/01/01</v>
      </c>
      <c r="D216" t="s">
        <v>173</v>
      </c>
      <c r="E216">
        <v>24.79</v>
      </c>
      <c r="F216">
        <v>24.78</v>
      </c>
      <c r="G216">
        <v>24.63</v>
      </c>
      <c r="H216">
        <v>269.44</v>
      </c>
      <c r="I216">
        <v>25.99</v>
      </c>
      <c r="J216">
        <v>25.99</v>
      </c>
      <c r="K216">
        <v>138.33</v>
      </c>
      <c r="L216">
        <v>138.33</v>
      </c>
      <c r="M216">
        <v>21.14</v>
      </c>
      <c r="N216">
        <v>28.93</v>
      </c>
      <c r="O216">
        <v>246.58</v>
      </c>
    </row>
    <row r="217" spans="1:15" ht="15">
      <c r="A217" t="str">
        <f>"0207459143"</f>
        <v>0207459143</v>
      </c>
      <c r="B217" t="s">
        <v>122</v>
      </c>
      <c r="C217" t="str">
        <f t="shared" si="3"/>
        <v>14/01/01</v>
      </c>
      <c r="D217" t="s">
        <v>173</v>
      </c>
      <c r="E217">
        <v>0</v>
      </c>
      <c r="F217">
        <v>20.87</v>
      </c>
      <c r="G217">
        <v>0</v>
      </c>
      <c r="H217">
        <v>100.91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</row>
    <row r="218" spans="1:15" ht="15">
      <c r="A218" t="str">
        <f>"0090862743"</f>
        <v>0090862743</v>
      </c>
      <c r="B218" t="s">
        <v>37</v>
      </c>
      <c r="C218" t="str">
        <f t="shared" si="3"/>
        <v>14/01/01</v>
      </c>
      <c r="D218" t="s">
        <v>173</v>
      </c>
      <c r="E218">
        <v>16.75</v>
      </c>
      <c r="F218">
        <v>17.52</v>
      </c>
      <c r="G218">
        <v>0</v>
      </c>
      <c r="H218">
        <v>195.08</v>
      </c>
      <c r="I218">
        <v>0</v>
      </c>
      <c r="J218">
        <v>0</v>
      </c>
      <c r="K218">
        <v>0</v>
      </c>
      <c r="L218">
        <v>0</v>
      </c>
      <c r="M218">
        <v>15.24</v>
      </c>
      <c r="N218">
        <v>0</v>
      </c>
      <c r="O218">
        <v>203.63</v>
      </c>
    </row>
    <row r="219" spans="1:15" ht="15">
      <c r="A219" t="str">
        <f>"0298477443"</f>
        <v>0298477443</v>
      </c>
      <c r="B219" t="s">
        <v>143</v>
      </c>
      <c r="C219" t="str">
        <f t="shared" si="3"/>
        <v>14/01/01</v>
      </c>
      <c r="D219" t="s">
        <v>173</v>
      </c>
      <c r="E219">
        <v>19.77</v>
      </c>
      <c r="F219">
        <v>20.2</v>
      </c>
      <c r="G219">
        <v>24.75</v>
      </c>
      <c r="H219">
        <v>238.69</v>
      </c>
      <c r="I219">
        <v>24.78</v>
      </c>
      <c r="J219">
        <v>23.36</v>
      </c>
      <c r="K219">
        <v>86.02</v>
      </c>
      <c r="L219">
        <v>0</v>
      </c>
      <c r="M219">
        <v>20.88</v>
      </c>
      <c r="N219">
        <v>21.43</v>
      </c>
      <c r="O219">
        <v>255.23</v>
      </c>
    </row>
    <row r="220" spans="1:15" ht="15">
      <c r="A220" t="str">
        <f>"0105254243"</f>
        <v>0105254243</v>
      </c>
      <c r="B220" t="s">
        <v>57</v>
      </c>
      <c r="C220" t="str">
        <f t="shared" si="3"/>
        <v>14/01/01</v>
      </c>
      <c r="D220" t="s">
        <v>173</v>
      </c>
      <c r="E220">
        <v>21.05</v>
      </c>
      <c r="F220">
        <v>21.12</v>
      </c>
      <c r="G220">
        <v>30.49</v>
      </c>
      <c r="H220">
        <v>249.25</v>
      </c>
      <c r="I220">
        <v>21.16</v>
      </c>
      <c r="J220">
        <v>30.4</v>
      </c>
      <c r="K220">
        <v>105.35</v>
      </c>
      <c r="L220">
        <v>105.26</v>
      </c>
      <c r="M220">
        <v>18.81</v>
      </c>
      <c r="N220">
        <v>18.65</v>
      </c>
      <c r="O220">
        <v>240.33</v>
      </c>
    </row>
    <row r="221" spans="1:15" ht="15">
      <c r="A221" t="str">
        <f>"0221745843"</f>
        <v>0221745843</v>
      </c>
      <c r="B221" t="s">
        <v>129</v>
      </c>
      <c r="C221" t="str">
        <f t="shared" si="3"/>
        <v>14/01/01</v>
      </c>
      <c r="D221" t="s">
        <v>173</v>
      </c>
      <c r="E221">
        <v>26.49</v>
      </c>
      <c r="F221">
        <v>28.02</v>
      </c>
      <c r="G221">
        <v>0</v>
      </c>
      <c r="H221">
        <v>0</v>
      </c>
      <c r="I221">
        <v>0</v>
      </c>
      <c r="J221">
        <v>0</v>
      </c>
      <c r="K221">
        <v>149</v>
      </c>
      <c r="L221">
        <v>148.95</v>
      </c>
      <c r="M221">
        <v>23.42</v>
      </c>
      <c r="N221">
        <v>0</v>
      </c>
      <c r="O221">
        <v>269.54</v>
      </c>
    </row>
    <row r="222" spans="1:15" ht="15">
      <c r="A222" t="str">
        <f>"0177190243"</f>
        <v>0177190243</v>
      </c>
      <c r="B222" t="s">
        <v>106</v>
      </c>
      <c r="C222" t="str">
        <f t="shared" si="3"/>
        <v>14/01/01</v>
      </c>
      <c r="D222" t="s">
        <v>173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17.41</v>
      </c>
      <c r="N222">
        <v>0</v>
      </c>
      <c r="O222">
        <v>0</v>
      </c>
    </row>
    <row r="223" spans="1:15" ht="15">
      <c r="A223" t="str">
        <f>"0166603143"</f>
        <v>0166603143</v>
      </c>
      <c r="B223" t="s">
        <v>90</v>
      </c>
      <c r="C223" t="str">
        <f t="shared" si="3"/>
        <v>14/01/01</v>
      </c>
      <c r="D223" t="s">
        <v>173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17.21</v>
      </c>
      <c r="N223">
        <v>0</v>
      </c>
      <c r="O223">
        <v>0</v>
      </c>
    </row>
    <row r="224" spans="1:15" ht="15">
      <c r="A224" t="str">
        <f>"0035491243"</f>
        <v>0035491243</v>
      </c>
      <c r="B224" t="s">
        <v>7</v>
      </c>
      <c r="C224" t="str">
        <f t="shared" si="3"/>
        <v>14/01/01</v>
      </c>
      <c r="D224" t="s">
        <v>173</v>
      </c>
      <c r="E224">
        <v>23.44</v>
      </c>
      <c r="F224">
        <v>24.04</v>
      </c>
      <c r="G224">
        <v>29.39</v>
      </c>
      <c r="H224">
        <v>275.27</v>
      </c>
      <c r="I224">
        <v>25.46</v>
      </c>
      <c r="J224">
        <v>25.46</v>
      </c>
      <c r="K224">
        <v>150.98</v>
      </c>
      <c r="L224">
        <v>150.98</v>
      </c>
      <c r="M224">
        <v>26.54</v>
      </c>
      <c r="N224">
        <v>27.09</v>
      </c>
      <c r="O224">
        <v>313.92</v>
      </c>
    </row>
    <row r="225" spans="1:15" ht="15">
      <c r="A225" t="str">
        <f>"0090863643"</f>
        <v>0090863643</v>
      </c>
      <c r="B225" t="s">
        <v>23</v>
      </c>
      <c r="C225" t="str">
        <f t="shared" si="3"/>
        <v>14/01/01</v>
      </c>
      <c r="D225" t="s">
        <v>173</v>
      </c>
      <c r="E225">
        <v>22.45</v>
      </c>
      <c r="F225">
        <v>22.5</v>
      </c>
      <c r="G225">
        <v>25.28</v>
      </c>
      <c r="H225">
        <v>221.08</v>
      </c>
      <c r="I225">
        <v>23.37</v>
      </c>
      <c r="J225">
        <v>22.6</v>
      </c>
      <c r="K225">
        <v>0</v>
      </c>
      <c r="L225">
        <v>0</v>
      </c>
      <c r="M225">
        <v>20.29</v>
      </c>
      <c r="N225">
        <v>20.88</v>
      </c>
      <c r="O225">
        <v>238.33</v>
      </c>
    </row>
    <row r="226" spans="1:15" ht="15">
      <c r="A226" t="str">
        <f>"0106459345"</f>
        <v>0106459345</v>
      </c>
      <c r="B226" t="s">
        <v>59</v>
      </c>
      <c r="C226" t="str">
        <f t="shared" si="3"/>
        <v>14/01/01</v>
      </c>
      <c r="D226" t="s">
        <v>176</v>
      </c>
      <c r="E226">
        <v>17.89</v>
      </c>
      <c r="F226">
        <v>20</v>
      </c>
      <c r="G226">
        <v>19.51</v>
      </c>
      <c r="H226">
        <v>0</v>
      </c>
      <c r="I226">
        <v>19</v>
      </c>
      <c r="J226">
        <v>18.15</v>
      </c>
      <c r="K226">
        <v>89.87</v>
      </c>
      <c r="L226">
        <v>102.41</v>
      </c>
      <c r="M226">
        <v>0</v>
      </c>
      <c r="N226">
        <v>0</v>
      </c>
      <c r="O226">
        <v>0</v>
      </c>
    </row>
    <row r="227" spans="1:15" ht="15">
      <c r="A227" t="str">
        <f>"0084696045"</f>
        <v>0084696045</v>
      </c>
      <c r="B227" t="s">
        <v>30</v>
      </c>
      <c r="C227" t="str">
        <f t="shared" si="3"/>
        <v>14/01/01</v>
      </c>
      <c r="D227" t="s">
        <v>176</v>
      </c>
      <c r="E227">
        <v>16.17</v>
      </c>
      <c r="F227">
        <v>17.11</v>
      </c>
      <c r="G227">
        <v>23.4</v>
      </c>
      <c r="H227">
        <v>229.47</v>
      </c>
      <c r="I227">
        <v>25.15</v>
      </c>
      <c r="J227">
        <v>24.3</v>
      </c>
      <c r="K227">
        <v>0</v>
      </c>
      <c r="L227">
        <v>0</v>
      </c>
      <c r="M227">
        <v>21.3</v>
      </c>
      <c r="N227">
        <v>23.6</v>
      </c>
      <c r="O227">
        <v>215.84</v>
      </c>
    </row>
    <row r="228" spans="1:15" ht="15">
      <c r="A228" t="str">
        <f>"0099143345"</f>
        <v>0099143345</v>
      </c>
      <c r="B228" t="s">
        <v>50</v>
      </c>
      <c r="C228" t="str">
        <f t="shared" si="3"/>
        <v>14/01/01</v>
      </c>
      <c r="D228" t="s">
        <v>176</v>
      </c>
      <c r="E228">
        <v>25.32</v>
      </c>
      <c r="F228">
        <v>25.72</v>
      </c>
      <c r="G228">
        <v>29.24</v>
      </c>
      <c r="H228">
        <v>316.85</v>
      </c>
      <c r="I228">
        <v>30.43</v>
      </c>
      <c r="J228">
        <v>26.51</v>
      </c>
      <c r="K228">
        <v>165.99</v>
      </c>
      <c r="L228">
        <v>165.99</v>
      </c>
      <c r="M228">
        <v>17.78</v>
      </c>
      <c r="N228">
        <v>18.5</v>
      </c>
      <c r="O228">
        <v>317.16</v>
      </c>
    </row>
    <row r="229" spans="1:15" ht="15">
      <c r="A229" t="str">
        <f>"0090869045"</f>
        <v>0090869045</v>
      </c>
      <c r="B229" t="s">
        <v>31</v>
      </c>
      <c r="C229" t="str">
        <f t="shared" si="3"/>
        <v>14/01/01</v>
      </c>
      <c r="D229" t="s">
        <v>176</v>
      </c>
      <c r="E229">
        <v>19.42</v>
      </c>
      <c r="F229">
        <v>21.23</v>
      </c>
      <c r="G229">
        <v>19.42</v>
      </c>
      <c r="H229">
        <v>299.19</v>
      </c>
      <c r="I229">
        <v>23.28</v>
      </c>
      <c r="J229">
        <v>24.91</v>
      </c>
      <c r="K229">
        <v>146.45</v>
      </c>
      <c r="L229">
        <v>124.95</v>
      </c>
      <c r="M229">
        <v>19.94</v>
      </c>
      <c r="N229">
        <v>22.38</v>
      </c>
      <c r="O229">
        <v>0</v>
      </c>
    </row>
    <row r="230" spans="1:15" ht="15">
      <c r="A230" t="str">
        <f>"0188056045"</f>
        <v>0188056045</v>
      </c>
      <c r="B230" t="s">
        <v>115</v>
      </c>
      <c r="C230" t="str">
        <f t="shared" si="3"/>
        <v>14/01/01</v>
      </c>
      <c r="D230" t="s">
        <v>176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16.2</v>
      </c>
      <c r="N230">
        <v>16.82</v>
      </c>
      <c r="O230">
        <v>199.06</v>
      </c>
    </row>
    <row r="231" spans="1:15" ht="15">
      <c r="A231" t="str">
        <f>"0215044345"</f>
        <v>0215044345</v>
      </c>
      <c r="B231" t="s">
        <v>124</v>
      </c>
      <c r="C231" t="str">
        <f t="shared" si="3"/>
        <v>14/01/01</v>
      </c>
      <c r="D231" t="s">
        <v>176</v>
      </c>
      <c r="E231">
        <v>22.21</v>
      </c>
      <c r="F231">
        <v>21.44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18.11</v>
      </c>
      <c r="N231">
        <v>19.76</v>
      </c>
      <c r="O231">
        <v>234.09</v>
      </c>
    </row>
    <row r="232" spans="1:15" ht="15">
      <c r="A232" t="str">
        <f>"0035807645"</f>
        <v>0035807645</v>
      </c>
      <c r="B232" t="s">
        <v>9</v>
      </c>
      <c r="C232" t="str">
        <f t="shared" si="3"/>
        <v>14/01/01</v>
      </c>
      <c r="D232" t="s">
        <v>176</v>
      </c>
      <c r="E232">
        <v>21.11</v>
      </c>
      <c r="F232">
        <v>21.1</v>
      </c>
      <c r="G232">
        <v>0</v>
      </c>
      <c r="H232">
        <v>0</v>
      </c>
      <c r="I232">
        <v>0</v>
      </c>
      <c r="J232">
        <v>0</v>
      </c>
      <c r="K232">
        <v>83</v>
      </c>
      <c r="L232">
        <v>83</v>
      </c>
      <c r="M232">
        <v>17.52</v>
      </c>
      <c r="N232">
        <v>19.38</v>
      </c>
      <c r="O232">
        <v>0</v>
      </c>
    </row>
    <row r="233" spans="1:15" ht="15">
      <c r="A233" t="str">
        <f>"0217285645"</f>
        <v>0217285645</v>
      </c>
      <c r="B233" t="s">
        <v>127</v>
      </c>
      <c r="C233" t="str">
        <f t="shared" si="3"/>
        <v>14/01/01</v>
      </c>
      <c r="D233" t="s">
        <v>176</v>
      </c>
      <c r="E233">
        <v>19.07</v>
      </c>
      <c r="F233">
        <v>21.71</v>
      </c>
      <c r="G233">
        <v>0</v>
      </c>
      <c r="H233">
        <v>0</v>
      </c>
      <c r="I233">
        <v>0</v>
      </c>
      <c r="J233">
        <v>0</v>
      </c>
      <c r="K233">
        <v>79.56</v>
      </c>
      <c r="L233">
        <v>130.14</v>
      </c>
      <c r="M233">
        <v>0</v>
      </c>
      <c r="N233">
        <v>0</v>
      </c>
      <c r="O233">
        <v>0</v>
      </c>
    </row>
    <row r="234" spans="1:15" ht="15">
      <c r="A234" t="str">
        <f>"0170109145"</f>
        <v>0170109145</v>
      </c>
      <c r="B234" t="s">
        <v>92</v>
      </c>
      <c r="C234" t="str">
        <f t="shared" si="3"/>
        <v>14/01/01</v>
      </c>
      <c r="D234" t="s">
        <v>176</v>
      </c>
      <c r="E234">
        <v>17.43</v>
      </c>
      <c r="F234">
        <v>18.59</v>
      </c>
      <c r="G234">
        <v>27.76</v>
      </c>
      <c r="H234">
        <v>296.26</v>
      </c>
      <c r="I234">
        <v>27.42</v>
      </c>
      <c r="J234">
        <v>26.72</v>
      </c>
      <c r="K234">
        <v>83</v>
      </c>
      <c r="L234">
        <v>83</v>
      </c>
      <c r="M234">
        <v>17.58</v>
      </c>
      <c r="N234">
        <v>17.82</v>
      </c>
      <c r="O234">
        <v>236.69</v>
      </c>
    </row>
    <row r="235" spans="1:15" ht="15">
      <c r="A235" t="str">
        <f>"0134883846"</f>
        <v>0134883846</v>
      </c>
      <c r="B235" t="s">
        <v>73</v>
      </c>
      <c r="C235" t="str">
        <f t="shared" si="3"/>
        <v>14/01/01</v>
      </c>
      <c r="D235" t="s">
        <v>179</v>
      </c>
      <c r="E235">
        <v>18.21</v>
      </c>
      <c r="F235">
        <v>21.81</v>
      </c>
      <c r="G235">
        <v>19.86</v>
      </c>
      <c r="H235">
        <v>230.82</v>
      </c>
      <c r="I235">
        <v>19.12</v>
      </c>
      <c r="J235">
        <v>18.44</v>
      </c>
      <c r="K235">
        <v>85.47</v>
      </c>
      <c r="L235">
        <v>84.08</v>
      </c>
      <c r="M235">
        <v>16.83</v>
      </c>
      <c r="N235">
        <v>18.45</v>
      </c>
      <c r="O235">
        <v>0</v>
      </c>
    </row>
    <row r="236" spans="1:15" ht="15">
      <c r="A236" t="str">
        <f>"0084696046"</f>
        <v>0084696046</v>
      </c>
      <c r="B236" t="s">
        <v>30</v>
      </c>
      <c r="C236" t="str">
        <f t="shared" si="3"/>
        <v>14/01/01</v>
      </c>
      <c r="D236" t="s">
        <v>179</v>
      </c>
      <c r="E236">
        <v>16.19</v>
      </c>
      <c r="F236">
        <v>15.68</v>
      </c>
      <c r="G236">
        <v>23.27</v>
      </c>
      <c r="H236">
        <v>265.2</v>
      </c>
      <c r="I236">
        <v>25.2</v>
      </c>
      <c r="J236">
        <v>24.41</v>
      </c>
      <c r="K236">
        <v>0</v>
      </c>
      <c r="L236">
        <v>0</v>
      </c>
      <c r="M236">
        <v>17.13</v>
      </c>
      <c r="N236">
        <v>23.74</v>
      </c>
      <c r="O236">
        <v>219.38</v>
      </c>
    </row>
    <row r="237" spans="1:15" ht="15">
      <c r="A237" t="str">
        <f>"0099143346"</f>
        <v>0099143346</v>
      </c>
      <c r="B237" t="s">
        <v>50</v>
      </c>
      <c r="C237" t="str">
        <f t="shared" si="3"/>
        <v>14/01/01</v>
      </c>
      <c r="D237" t="s">
        <v>179</v>
      </c>
      <c r="E237">
        <v>18.43</v>
      </c>
      <c r="F237">
        <v>18.81</v>
      </c>
      <c r="G237">
        <v>29.23</v>
      </c>
      <c r="H237">
        <v>315.04</v>
      </c>
      <c r="I237">
        <v>30.39</v>
      </c>
      <c r="J237">
        <v>26.52</v>
      </c>
      <c r="K237">
        <v>46.26</v>
      </c>
      <c r="L237">
        <v>166</v>
      </c>
      <c r="M237">
        <v>17.07</v>
      </c>
      <c r="N237">
        <v>25.85</v>
      </c>
      <c r="O237">
        <v>292.58</v>
      </c>
    </row>
    <row r="238" spans="1:15" ht="15">
      <c r="A238" t="str">
        <f>"0090869046"</f>
        <v>0090869046</v>
      </c>
      <c r="B238" t="s">
        <v>31</v>
      </c>
      <c r="C238" t="str">
        <f t="shared" si="3"/>
        <v>14/01/01</v>
      </c>
      <c r="D238" t="s">
        <v>179</v>
      </c>
      <c r="E238">
        <v>17.46</v>
      </c>
      <c r="F238">
        <v>19.87</v>
      </c>
      <c r="G238">
        <v>19.4</v>
      </c>
      <c r="H238">
        <v>240.84</v>
      </c>
      <c r="I238">
        <v>24.24</v>
      </c>
      <c r="J238">
        <v>25.11</v>
      </c>
      <c r="K238">
        <v>129.6</v>
      </c>
      <c r="L238">
        <v>143.75</v>
      </c>
      <c r="M238">
        <v>20.95</v>
      </c>
      <c r="N238">
        <v>22.76</v>
      </c>
      <c r="O238">
        <v>0</v>
      </c>
    </row>
    <row r="239" spans="1:15" ht="15">
      <c r="A239" t="str">
        <f>"0188056046"</f>
        <v>0188056046</v>
      </c>
      <c r="B239" t="s">
        <v>115</v>
      </c>
      <c r="C239" t="str">
        <f t="shared" si="3"/>
        <v>14/01/01</v>
      </c>
      <c r="D239" t="s">
        <v>179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16.22</v>
      </c>
      <c r="N239">
        <v>17.97</v>
      </c>
      <c r="O239">
        <v>199.36</v>
      </c>
    </row>
    <row r="240" spans="1:15" ht="15">
      <c r="A240" t="str">
        <f>"0215044346"</f>
        <v>0215044346</v>
      </c>
      <c r="B240" t="s">
        <v>126</v>
      </c>
      <c r="C240" t="str">
        <f t="shared" si="3"/>
        <v>14/01/01</v>
      </c>
      <c r="D240" t="s">
        <v>179</v>
      </c>
      <c r="E240">
        <v>21.75</v>
      </c>
      <c r="F240">
        <v>21.99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19.09</v>
      </c>
      <c r="N240">
        <v>22.02</v>
      </c>
      <c r="O240">
        <v>255.78</v>
      </c>
    </row>
    <row r="241" spans="1:15" ht="15">
      <c r="A241" t="str">
        <f>"0055587146"</f>
        <v>0055587146</v>
      </c>
      <c r="B241" t="s">
        <v>17</v>
      </c>
      <c r="C241" t="str">
        <f t="shared" si="3"/>
        <v>14/01/01</v>
      </c>
      <c r="D241" t="s">
        <v>179</v>
      </c>
      <c r="E241">
        <v>20.07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</row>
    <row r="242" spans="1:15" ht="15">
      <c r="A242" t="str">
        <f>"0158266346"</f>
        <v>0158266346</v>
      </c>
      <c r="B242" t="s">
        <v>85</v>
      </c>
      <c r="C242" t="str">
        <f t="shared" si="3"/>
        <v>14/01/01</v>
      </c>
      <c r="D242" t="s">
        <v>179</v>
      </c>
      <c r="E242">
        <v>20.12</v>
      </c>
      <c r="F242">
        <v>20.14</v>
      </c>
      <c r="G242">
        <v>21.76</v>
      </c>
      <c r="H242">
        <v>230.46</v>
      </c>
      <c r="I242">
        <v>0</v>
      </c>
      <c r="J242">
        <v>0</v>
      </c>
      <c r="K242">
        <v>84.86</v>
      </c>
      <c r="L242">
        <v>84.86</v>
      </c>
      <c r="M242">
        <v>0</v>
      </c>
      <c r="N242">
        <v>0</v>
      </c>
      <c r="O242">
        <v>0</v>
      </c>
    </row>
    <row r="243" spans="1:15" ht="15">
      <c r="A243" t="str">
        <f>"0217285646"</f>
        <v>0217285646</v>
      </c>
      <c r="B243" t="s">
        <v>127</v>
      </c>
      <c r="C243" t="str">
        <f t="shared" si="3"/>
        <v>14/01/01</v>
      </c>
      <c r="D243" t="s">
        <v>179</v>
      </c>
      <c r="E243">
        <v>20.29</v>
      </c>
      <c r="F243">
        <v>20.31</v>
      </c>
      <c r="G243">
        <v>0</v>
      </c>
      <c r="H243">
        <v>0</v>
      </c>
      <c r="I243">
        <v>0</v>
      </c>
      <c r="J243">
        <v>0</v>
      </c>
      <c r="K243">
        <v>79.56</v>
      </c>
      <c r="L243">
        <v>126.91</v>
      </c>
      <c r="M243">
        <v>0</v>
      </c>
      <c r="N243">
        <v>0</v>
      </c>
      <c r="O243">
        <v>0</v>
      </c>
    </row>
    <row r="244" spans="1:15" ht="15">
      <c r="A244" t="str">
        <f>"0170109146"</f>
        <v>0170109146</v>
      </c>
      <c r="B244" t="s">
        <v>92</v>
      </c>
      <c r="C244" t="str">
        <f t="shared" si="3"/>
        <v>14/01/01</v>
      </c>
      <c r="D244" t="s">
        <v>179</v>
      </c>
      <c r="E244">
        <v>16.98</v>
      </c>
      <c r="F244">
        <v>17.02</v>
      </c>
      <c r="G244">
        <v>27.76</v>
      </c>
      <c r="H244">
        <v>296.27</v>
      </c>
      <c r="I244">
        <v>26.75</v>
      </c>
      <c r="J244">
        <v>25.78</v>
      </c>
      <c r="K244">
        <v>83.01</v>
      </c>
      <c r="L244">
        <v>83.01</v>
      </c>
      <c r="M244">
        <v>17.95</v>
      </c>
      <c r="N244">
        <v>16.92</v>
      </c>
      <c r="O244">
        <v>216.47</v>
      </c>
    </row>
    <row r="245" spans="1:15" ht="15">
      <c r="A245" t="str">
        <f>"0097412147"</f>
        <v>0097412147</v>
      </c>
      <c r="B245" t="s">
        <v>47</v>
      </c>
      <c r="C245" t="str">
        <f t="shared" si="3"/>
        <v>14/01/01</v>
      </c>
      <c r="D245" t="s">
        <v>208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13.73</v>
      </c>
      <c r="N245">
        <v>16.25</v>
      </c>
      <c r="O245">
        <v>0</v>
      </c>
    </row>
    <row r="246" spans="1:15" ht="15">
      <c r="A246" t="str">
        <f>"0349929047"</f>
        <v>0349929047</v>
      </c>
      <c r="B246" t="s">
        <v>157</v>
      </c>
      <c r="C246" t="str">
        <f t="shared" si="3"/>
        <v>14/01/01</v>
      </c>
      <c r="D246" t="s">
        <v>208</v>
      </c>
      <c r="E246">
        <v>22.32</v>
      </c>
      <c r="F246">
        <v>21.3</v>
      </c>
      <c r="G246">
        <v>0</v>
      </c>
      <c r="H246">
        <v>0</v>
      </c>
      <c r="I246">
        <v>0</v>
      </c>
      <c r="J246">
        <v>0</v>
      </c>
      <c r="K246">
        <v>31.46</v>
      </c>
      <c r="L246">
        <v>28.33</v>
      </c>
      <c r="M246">
        <v>0</v>
      </c>
      <c r="N246">
        <v>0</v>
      </c>
      <c r="O246">
        <v>0</v>
      </c>
    </row>
    <row r="247" spans="1:15" ht="15">
      <c r="A247" t="str">
        <f>"0170109147"</f>
        <v>0170109147</v>
      </c>
      <c r="B247" t="s">
        <v>92</v>
      </c>
      <c r="C247" t="str">
        <f t="shared" si="3"/>
        <v>14/01/01</v>
      </c>
      <c r="D247" t="s">
        <v>208</v>
      </c>
      <c r="E247">
        <v>20.56</v>
      </c>
      <c r="F247">
        <v>19.59</v>
      </c>
      <c r="G247">
        <v>27.41</v>
      </c>
      <c r="H247">
        <v>255.62</v>
      </c>
      <c r="I247">
        <v>27.2</v>
      </c>
      <c r="J247">
        <v>26.57</v>
      </c>
      <c r="K247">
        <v>82.49</v>
      </c>
      <c r="L247">
        <v>82.49</v>
      </c>
      <c r="M247">
        <v>17.9</v>
      </c>
      <c r="N247">
        <v>18.82</v>
      </c>
      <c r="O247">
        <v>236.69</v>
      </c>
    </row>
    <row r="248" spans="1:15" ht="15">
      <c r="A248" t="str">
        <f>"0179766248"</f>
        <v>0179766248</v>
      </c>
      <c r="B248" t="s">
        <v>112</v>
      </c>
      <c r="C248" t="str">
        <f t="shared" si="3"/>
        <v>14/01/01</v>
      </c>
      <c r="D248" t="s">
        <v>211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14.02</v>
      </c>
      <c r="N248">
        <v>0</v>
      </c>
      <c r="O248">
        <v>0</v>
      </c>
    </row>
    <row r="249" spans="1:15" ht="15">
      <c r="A249" t="str">
        <f>"0194568848"</f>
        <v>0194568848</v>
      </c>
      <c r="B249" t="s">
        <v>116</v>
      </c>
      <c r="C249" t="str">
        <f t="shared" si="3"/>
        <v>14/01/01</v>
      </c>
      <c r="D249" t="s">
        <v>211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13.93</v>
      </c>
      <c r="N249">
        <v>18.99</v>
      </c>
      <c r="O249">
        <v>0</v>
      </c>
    </row>
    <row r="250" spans="1:15" ht="15">
      <c r="A250" t="str">
        <f>"0307657948"</f>
        <v>0307657948</v>
      </c>
      <c r="B250" t="s">
        <v>147</v>
      </c>
      <c r="C250" t="str">
        <f t="shared" si="3"/>
        <v>14/01/01</v>
      </c>
      <c r="D250" t="s">
        <v>211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21.14</v>
      </c>
      <c r="N250">
        <v>23.1</v>
      </c>
      <c r="O250">
        <v>0</v>
      </c>
    </row>
    <row r="251" spans="1:15" ht="15">
      <c r="A251" t="str">
        <f>"0105243748"</f>
        <v>0105243748</v>
      </c>
      <c r="B251" t="s">
        <v>56</v>
      </c>
      <c r="C251" t="str">
        <f t="shared" si="3"/>
        <v>14/01/01</v>
      </c>
      <c r="D251" t="s">
        <v>211</v>
      </c>
      <c r="E251">
        <v>22.56</v>
      </c>
      <c r="F251">
        <v>23.09</v>
      </c>
      <c r="G251">
        <v>26.89</v>
      </c>
      <c r="H251">
        <v>251.34</v>
      </c>
      <c r="I251">
        <v>26.68</v>
      </c>
      <c r="J251">
        <v>26.9</v>
      </c>
      <c r="K251">
        <v>153.82</v>
      </c>
      <c r="L251">
        <v>0</v>
      </c>
      <c r="M251">
        <v>21.03</v>
      </c>
      <c r="N251">
        <v>23.41</v>
      </c>
      <c r="O251">
        <v>254.68</v>
      </c>
    </row>
    <row r="252" spans="1:15" ht="15">
      <c r="A252" t="str">
        <f>"0302858049"</f>
        <v>0302858049</v>
      </c>
      <c r="B252" t="s">
        <v>146</v>
      </c>
      <c r="C252" t="str">
        <f t="shared" si="3"/>
        <v>14/01/01</v>
      </c>
      <c r="D252" t="s">
        <v>212</v>
      </c>
      <c r="E252">
        <v>23.65</v>
      </c>
      <c r="F252">
        <v>24.37</v>
      </c>
      <c r="G252">
        <v>0</v>
      </c>
      <c r="H252">
        <v>0</v>
      </c>
      <c r="I252">
        <v>0</v>
      </c>
      <c r="J252">
        <v>0</v>
      </c>
      <c r="K252">
        <v>148.57</v>
      </c>
      <c r="L252">
        <v>149.1</v>
      </c>
      <c r="M252">
        <v>0</v>
      </c>
      <c r="N252">
        <v>0</v>
      </c>
      <c r="O252">
        <v>0</v>
      </c>
    </row>
    <row r="253" spans="1:15" ht="15">
      <c r="A253" t="str">
        <f>"0147051149"</f>
        <v>0147051149</v>
      </c>
      <c r="B253" t="s">
        <v>81</v>
      </c>
      <c r="C253" t="str">
        <f t="shared" si="3"/>
        <v>14/01/01</v>
      </c>
      <c r="D253" t="s">
        <v>212</v>
      </c>
      <c r="E253">
        <v>25.78</v>
      </c>
      <c r="F253">
        <v>25.97</v>
      </c>
      <c r="G253">
        <v>27.95</v>
      </c>
      <c r="H253">
        <v>0</v>
      </c>
      <c r="I253">
        <v>27.74</v>
      </c>
      <c r="J253">
        <v>26.97</v>
      </c>
      <c r="K253">
        <v>114.31</v>
      </c>
      <c r="L253">
        <v>114.31</v>
      </c>
      <c r="M253">
        <v>0</v>
      </c>
      <c r="N253">
        <v>0</v>
      </c>
      <c r="O253">
        <v>0</v>
      </c>
    </row>
    <row r="254" spans="1:15" ht="15">
      <c r="A254" t="str">
        <f>"0170770849"</f>
        <v>0170770849</v>
      </c>
      <c r="B254" t="s">
        <v>94</v>
      </c>
      <c r="C254" t="str">
        <f t="shared" si="3"/>
        <v>14/01/01</v>
      </c>
      <c r="D254" t="s">
        <v>212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15.11</v>
      </c>
      <c r="N254">
        <v>0</v>
      </c>
      <c r="O254">
        <v>0</v>
      </c>
    </row>
    <row r="255" spans="1:15" ht="15">
      <c r="A255" t="str">
        <f>"0105243749"</f>
        <v>0105243749</v>
      </c>
      <c r="B255" t="s">
        <v>56</v>
      </c>
      <c r="C255" t="str">
        <f t="shared" si="3"/>
        <v>14/01/01</v>
      </c>
      <c r="D255" t="s">
        <v>212</v>
      </c>
      <c r="E255">
        <v>25.9</v>
      </c>
      <c r="F255">
        <v>26.41</v>
      </c>
      <c r="G255">
        <v>28.49</v>
      </c>
      <c r="H255">
        <v>272.61</v>
      </c>
      <c r="I255">
        <v>28.27</v>
      </c>
      <c r="J255">
        <v>28.36</v>
      </c>
      <c r="K255">
        <v>132.63</v>
      </c>
      <c r="L255">
        <v>0</v>
      </c>
      <c r="M255">
        <v>26.15</v>
      </c>
      <c r="N255">
        <v>28.36</v>
      </c>
      <c r="O255">
        <v>312.8</v>
      </c>
    </row>
    <row r="256" spans="1:15" ht="15">
      <c r="A256" t="str">
        <f>"0327725444"</f>
        <v>0327725444</v>
      </c>
      <c r="B256" t="s">
        <v>152</v>
      </c>
      <c r="C256" t="str">
        <f t="shared" si="3"/>
        <v>14/01/01</v>
      </c>
      <c r="D256" t="s">
        <v>190</v>
      </c>
      <c r="E256">
        <v>19.86</v>
      </c>
      <c r="F256">
        <v>19.81</v>
      </c>
      <c r="G256">
        <v>0</v>
      </c>
      <c r="H256">
        <v>0</v>
      </c>
      <c r="I256">
        <v>0</v>
      </c>
      <c r="J256">
        <v>0</v>
      </c>
      <c r="K256">
        <v>88.51</v>
      </c>
      <c r="L256">
        <v>114.32</v>
      </c>
      <c r="M256">
        <v>0</v>
      </c>
      <c r="N256">
        <v>0</v>
      </c>
      <c r="O256">
        <v>0</v>
      </c>
    </row>
    <row r="257" spans="1:15" ht="15">
      <c r="A257" t="str">
        <f>"0095367744"</f>
        <v>0095367744</v>
      </c>
      <c r="B257" t="s">
        <v>45</v>
      </c>
      <c r="C257" t="str">
        <f t="shared" si="3"/>
        <v>14/01/01</v>
      </c>
      <c r="D257" t="s">
        <v>190</v>
      </c>
      <c r="E257">
        <v>19.37</v>
      </c>
      <c r="F257">
        <v>20.26</v>
      </c>
      <c r="G257">
        <v>0</v>
      </c>
      <c r="H257">
        <v>0</v>
      </c>
      <c r="I257">
        <v>20.95</v>
      </c>
      <c r="J257">
        <v>20.26</v>
      </c>
      <c r="K257">
        <v>59.55</v>
      </c>
      <c r="L257">
        <v>99.1</v>
      </c>
      <c r="M257">
        <v>0</v>
      </c>
      <c r="N257">
        <v>0</v>
      </c>
      <c r="O257">
        <v>0</v>
      </c>
    </row>
    <row r="258" spans="1:15" ht="15">
      <c r="A258" t="str">
        <f>"0080671744"</f>
        <v>0080671744</v>
      </c>
      <c r="B258" t="s">
        <v>25</v>
      </c>
      <c r="C258" t="str">
        <f t="shared" si="3"/>
        <v>14/01/01</v>
      </c>
      <c r="D258" t="s">
        <v>190</v>
      </c>
      <c r="E258">
        <v>18.14</v>
      </c>
      <c r="F258">
        <v>19.6</v>
      </c>
      <c r="G258">
        <v>0</v>
      </c>
      <c r="H258">
        <v>0</v>
      </c>
      <c r="I258">
        <v>0</v>
      </c>
      <c r="J258">
        <v>0</v>
      </c>
      <c r="K258">
        <v>86.12</v>
      </c>
      <c r="L258">
        <v>0</v>
      </c>
      <c r="M258">
        <v>0</v>
      </c>
      <c r="N258">
        <v>0</v>
      </c>
      <c r="O258">
        <v>0</v>
      </c>
    </row>
    <row r="259" spans="1:15" ht="15">
      <c r="A259" t="str">
        <f>"0095390244"</f>
        <v>0095390244</v>
      </c>
      <c r="B259" t="s">
        <v>46</v>
      </c>
      <c r="C259" t="str">
        <f t="shared" si="3"/>
        <v>14/01/01</v>
      </c>
      <c r="D259" t="s">
        <v>190</v>
      </c>
      <c r="E259">
        <v>21.66</v>
      </c>
      <c r="F259">
        <v>21.66</v>
      </c>
      <c r="G259">
        <v>0</v>
      </c>
      <c r="H259">
        <v>0</v>
      </c>
      <c r="I259">
        <v>21.66</v>
      </c>
      <c r="J259">
        <v>21.66</v>
      </c>
      <c r="K259">
        <v>58.23</v>
      </c>
      <c r="L259">
        <v>58.22</v>
      </c>
      <c r="M259">
        <v>0</v>
      </c>
      <c r="N259">
        <v>0</v>
      </c>
      <c r="O259">
        <v>0</v>
      </c>
    </row>
    <row r="260" spans="1:15" ht="15">
      <c r="A260" t="str">
        <f>"0174106044"</f>
        <v>0174106044</v>
      </c>
      <c r="B260" t="s">
        <v>103</v>
      </c>
      <c r="C260" t="str">
        <f t="shared" si="3"/>
        <v>14/01/01</v>
      </c>
      <c r="D260" t="s">
        <v>190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14.14</v>
      </c>
      <c r="N260">
        <v>0</v>
      </c>
      <c r="O260">
        <v>0</v>
      </c>
    </row>
    <row r="261" spans="1:15" ht="15">
      <c r="A261" t="str">
        <f>"0179766250"</f>
        <v>0179766250</v>
      </c>
      <c r="B261" t="s">
        <v>112</v>
      </c>
      <c r="C261" t="str">
        <f t="shared" si="3"/>
        <v>14/01/01</v>
      </c>
      <c r="D261" t="s">
        <v>174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14.03</v>
      </c>
      <c r="N261">
        <v>0</v>
      </c>
      <c r="O261">
        <v>0</v>
      </c>
    </row>
    <row r="262" spans="1:15" ht="15">
      <c r="A262" t="str">
        <f>"0194568850"</f>
        <v>0194568850</v>
      </c>
      <c r="B262" t="s">
        <v>116</v>
      </c>
      <c r="C262" t="str">
        <f t="shared" si="3"/>
        <v>14/01/01</v>
      </c>
      <c r="D262" t="s">
        <v>174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14</v>
      </c>
      <c r="N262">
        <v>19.18</v>
      </c>
      <c r="O262">
        <v>0</v>
      </c>
    </row>
    <row r="263" spans="1:15" ht="15">
      <c r="A263" t="str">
        <f>"0091624350"</f>
        <v>0091624350</v>
      </c>
      <c r="B263" t="s">
        <v>40</v>
      </c>
      <c r="C263" t="str">
        <f aca="true" t="shared" si="4" ref="C263:C326">"14/01/01"</f>
        <v>14/01/01</v>
      </c>
      <c r="D263" t="s">
        <v>174</v>
      </c>
      <c r="E263">
        <v>22.34</v>
      </c>
      <c r="F263">
        <v>22.64</v>
      </c>
      <c r="G263">
        <v>29.78</v>
      </c>
      <c r="H263">
        <v>285.51</v>
      </c>
      <c r="I263">
        <v>27.06</v>
      </c>
      <c r="J263">
        <v>27.28</v>
      </c>
      <c r="K263">
        <v>84.15</v>
      </c>
      <c r="L263">
        <v>84.15</v>
      </c>
      <c r="M263">
        <v>22.7</v>
      </c>
      <c r="N263">
        <v>24.26</v>
      </c>
      <c r="O263">
        <v>252.1</v>
      </c>
    </row>
    <row r="264" spans="1:15" ht="15">
      <c r="A264" t="str">
        <f>"0105243750"</f>
        <v>0105243750</v>
      </c>
      <c r="B264" t="s">
        <v>56</v>
      </c>
      <c r="C264" t="str">
        <f t="shared" si="4"/>
        <v>14/01/01</v>
      </c>
      <c r="D264" t="s">
        <v>174</v>
      </c>
      <c r="E264">
        <v>23.81</v>
      </c>
      <c r="F264">
        <v>26.52</v>
      </c>
      <c r="G264">
        <v>26.88</v>
      </c>
      <c r="H264">
        <v>251.29</v>
      </c>
      <c r="I264">
        <v>26.67</v>
      </c>
      <c r="J264">
        <v>26.87</v>
      </c>
      <c r="K264">
        <v>164.94</v>
      </c>
      <c r="L264">
        <v>0</v>
      </c>
      <c r="M264">
        <v>21.03</v>
      </c>
      <c r="N264">
        <v>23.44</v>
      </c>
      <c r="O264">
        <v>254.61</v>
      </c>
    </row>
    <row r="265" spans="1:15" ht="15">
      <c r="A265" t="str">
        <f>"0035491250"</f>
        <v>0035491250</v>
      </c>
      <c r="B265" t="s">
        <v>7</v>
      </c>
      <c r="C265" t="str">
        <f t="shared" si="4"/>
        <v>14/01/01</v>
      </c>
      <c r="D265" t="s">
        <v>174</v>
      </c>
      <c r="E265">
        <v>26.21</v>
      </c>
      <c r="F265">
        <v>30.11</v>
      </c>
      <c r="G265">
        <v>30.5</v>
      </c>
      <c r="H265">
        <v>292.55</v>
      </c>
      <c r="I265">
        <v>28.69</v>
      </c>
      <c r="J265">
        <v>31.02</v>
      </c>
      <c r="K265">
        <v>164.95</v>
      </c>
      <c r="L265">
        <v>164.95</v>
      </c>
      <c r="M265">
        <v>27.9</v>
      </c>
      <c r="N265">
        <v>29.94</v>
      </c>
      <c r="O265">
        <v>334.86</v>
      </c>
    </row>
    <row r="266" spans="1:15" ht="15">
      <c r="A266" t="str">
        <f>"0035467851"</f>
        <v>0035467851</v>
      </c>
      <c r="B266" t="s">
        <v>4</v>
      </c>
      <c r="C266" t="str">
        <f t="shared" si="4"/>
        <v>14/01/01</v>
      </c>
      <c r="D266" t="s">
        <v>160</v>
      </c>
      <c r="E266">
        <v>21.68</v>
      </c>
      <c r="F266">
        <v>21.95</v>
      </c>
      <c r="G266">
        <v>29.33</v>
      </c>
      <c r="H266">
        <v>291.45</v>
      </c>
      <c r="I266">
        <v>23.57</v>
      </c>
      <c r="J266">
        <v>25.42</v>
      </c>
      <c r="K266">
        <v>103.1</v>
      </c>
      <c r="L266">
        <v>0</v>
      </c>
      <c r="M266">
        <v>23.1</v>
      </c>
      <c r="N266">
        <v>24.46</v>
      </c>
      <c r="O266">
        <v>274.41</v>
      </c>
    </row>
    <row r="267" spans="1:15" ht="15">
      <c r="A267" t="str">
        <f>"0035466951"</f>
        <v>0035466951</v>
      </c>
      <c r="B267" t="s">
        <v>3</v>
      </c>
      <c r="C267" t="str">
        <f t="shared" si="4"/>
        <v>14/01/01</v>
      </c>
      <c r="D267" t="s">
        <v>160</v>
      </c>
      <c r="E267">
        <v>20.08</v>
      </c>
      <c r="F267">
        <v>20.34</v>
      </c>
      <c r="G267">
        <v>33.46</v>
      </c>
      <c r="H267">
        <v>234.99</v>
      </c>
      <c r="I267">
        <v>20.37</v>
      </c>
      <c r="J267">
        <v>20.39</v>
      </c>
      <c r="K267">
        <v>80.95</v>
      </c>
      <c r="L267">
        <v>0</v>
      </c>
      <c r="M267">
        <v>24.12</v>
      </c>
      <c r="N267">
        <v>24.8</v>
      </c>
      <c r="O267">
        <v>290.32</v>
      </c>
    </row>
    <row r="268" spans="1:15" ht="15">
      <c r="A268" t="str">
        <f>"0084696051"</f>
        <v>0084696051</v>
      </c>
      <c r="B268" t="s">
        <v>30</v>
      </c>
      <c r="C268" t="str">
        <f t="shared" si="4"/>
        <v>14/01/01</v>
      </c>
      <c r="D268" t="s">
        <v>160</v>
      </c>
      <c r="E268">
        <v>22.27</v>
      </c>
      <c r="F268">
        <v>23.03</v>
      </c>
      <c r="G268">
        <v>24.54</v>
      </c>
      <c r="H268">
        <v>262.69</v>
      </c>
      <c r="I268">
        <v>25.18</v>
      </c>
      <c r="J268">
        <v>25.14</v>
      </c>
      <c r="K268">
        <v>118.12</v>
      </c>
      <c r="L268">
        <v>0</v>
      </c>
      <c r="M268">
        <v>23.62</v>
      </c>
      <c r="N268">
        <v>24.93</v>
      </c>
      <c r="O268">
        <v>218.51</v>
      </c>
    </row>
    <row r="269" spans="1:15" ht="15">
      <c r="A269" t="str">
        <f>"0085078451"</f>
        <v>0085078451</v>
      </c>
      <c r="B269" t="s">
        <v>31</v>
      </c>
      <c r="C269" t="str">
        <f t="shared" si="4"/>
        <v>14/01/01</v>
      </c>
      <c r="D269" t="s">
        <v>160</v>
      </c>
      <c r="E269">
        <v>22.63</v>
      </c>
      <c r="F269">
        <v>20.75</v>
      </c>
      <c r="G269">
        <v>25.24</v>
      </c>
      <c r="H269">
        <v>245.11</v>
      </c>
      <c r="I269">
        <v>23.28</v>
      </c>
      <c r="J269">
        <v>26.69</v>
      </c>
      <c r="K269">
        <v>138.35</v>
      </c>
      <c r="L269">
        <v>149.2</v>
      </c>
      <c r="M269">
        <v>22.65</v>
      </c>
      <c r="N269">
        <v>23.71</v>
      </c>
      <c r="O269">
        <v>0</v>
      </c>
    </row>
    <row r="270" spans="1:15" ht="15">
      <c r="A270" t="str">
        <f>"0078841851"</f>
        <v>0078841851</v>
      </c>
      <c r="B270" t="s">
        <v>24</v>
      </c>
      <c r="C270" t="str">
        <f t="shared" si="4"/>
        <v>14/01/01</v>
      </c>
      <c r="D270" t="s">
        <v>160</v>
      </c>
      <c r="E270">
        <v>19.47</v>
      </c>
      <c r="F270">
        <v>17.52</v>
      </c>
      <c r="G270">
        <v>27.67</v>
      </c>
      <c r="H270">
        <v>226.96</v>
      </c>
      <c r="I270">
        <v>19.78</v>
      </c>
      <c r="J270">
        <v>19.77</v>
      </c>
      <c r="K270">
        <v>110.37</v>
      </c>
      <c r="L270">
        <v>0</v>
      </c>
      <c r="M270">
        <v>23.11</v>
      </c>
      <c r="N270">
        <v>24.52</v>
      </c>
      <c r="O270">
        <v>236.59</v>
      </c>
    </row>
    <row r="271" spans="1:15" ht="15">
      <c r="A271" t="str">
        <f>"0205618251"</f>
        <v>0205618251</v>
      </c>
      <c r="B271" t="s">
        <v>120</v>
      </c>
      <c r="C271" t="str">
        <f t="shared" si="4"/>
        <v>14/01/01</v>
      </c>
      <c r="D271" t="s">
        <v>160</v>
      </c>
      <c r="E271">
        <v>19.61</v>
      </c>
      <c r="F271">
        <v>19.87</v>
      </c>
      <c r="G271">
        <v>26.1</v>
      </c>
      <c r="H271">
        <v>224.16</v>
      </c>
      <c r="I271">
        <v>0</v>
      </c>
      <c r="J271">
        <v>0</v>
      </c>
      <c r="K271">
        <v>108.93</v>
      </c>
      <c r="L271">
        <v>0</v>
      </c>
      <c r="M271">
        <v>0</v>
      </c>
      <c r="N271">
        <v>0</v>
      </c>
      <c r="O271">
        <v>0</v>
      </c>
    </row>
    <row r="272" spans="1:15" ht="15">
      <c r="A272" t="str">
        <f>"0081865351"</f>
        <v>0081865351</v>
      </c>
      <c r="B272" t="s">
        <v>29</v>
      </c>
      <c r="C272" t="str">
        <f t="shared" si="4"/>
        <v>14/01/01</v>
      </c>
      <c r="D272" t="s">
        <v>160</v>
      </c>
      <c r="E272">
        <v>22.48</v>
      </c>
      <c r="F272">
        <v>21.89</v>
      </c>
      <c r="G272">
        <v>27.44</v>
      </c>
      <c r="H272">
        <v>236.01</v>
      </c>
      <c r="I272">
        <v>0</v>
      </c>
      <c r="J272">
        <v>0</v>
      </c>
      <c r="K272">
        <v>94.51</v>
      </c>
      <c r="L272">
        <v>0</v>
      </c>
      <c r="M272">
        <v>0</v>
      </c>
      <c r="N272">
        <v>0</v>
      </c>
      <c r="O272">
        <v>0</v>
      </c>
    </row>
    <row r="273" spans="1:15" ht="15">
      <c r="A273" t="str">
        <f>"0108728751"</f>
        <v>0108728751</v>
      </c>
      <c r="B273" t="s">
        <v>61</v>
      </c>
      <c r="C273" t="str">
        <f t="shared" si="4"/>
        <v>14/01/01</v>
      </c>
      <c r="D273" t="s">
        <v>160</v>
      </c>
      <c r="E273">
        <v>21.94</v>
      </c>
      <c r="F273">
        <v>21.44</v>
      </c>
      <c r="G273">
        <v>25.01</v>
      </c>
      <c r="H273">
        <v>240.8</v>
      </c>
      <c r="I273">
        <v>25.36</v>
      </c>
      <c r="J273">
        <v>25.47</v>
      </c>
      <c r="K273">
        <v>106.08</v>
      </c>
      <c r="L273">
        <v>0</v>
      </c>
      <c r="M273">
        <v>0</v>
      </c>
      <c r="N273">
        <v>0</v>
      </c>
      <c r="O273">
        <v>0</v>
      </c>
    </row>
    <row r="274" spans="1:15" ht="15">
      <c r="A274" t="str">
        <f>"0042019551"</f>
        <v>0042019551</v>
      </c>
      <c r="B274" t="s">
        <v>10</v>
      </c>
      <c r="C274" t="str">
        <f t="shared" si="4"/>
        <v>14/01/01</v>
      </c>
      <c r="D274" t="s">
        <v>160</v>
      </c>
      <c r="E274">
        <v>18.77</v>
      </c>
      <c r="F274">
        <v>19.04</v>
      </c>
      <c r="G274">
        <v>25.25</v>
      </c>
      <c r="H274">
        <v>215.85</v>
      </c>
      <c r="I274">
        <v>19.08</v>
      </c>
      <c r="J274">
        <v>19.08</v>
      </c>
      <c r="K274">
        <v>88.3</v>
      </c>
      <c r="L274">
        <v>88.3</v>
      </c>
      <c r="M274">
        <v>0</v>
      </c>
      <c r="N274">
        <v>0</v>
      </c>
      <c r="O274">
        <v>0</v>
      </c>
    </row>
    <row r="275" spans="1:15" ht="15">
      <c r="A275" t="str">
        <f>"0134254351"</f>
        <v>0134254351</v>
      </c>
      <c r="B275" t="s">
        <v>71</v>
      </c>
      <c r="C275" t="str">
        <f t="shared" si="4"/>
        <v>14/01/01</v>
      </c>
      <c r="D275" t="s">
        <v>160</v>
      </c>
      <c r="E275">
        <v>16.76</v>
      </c>
      <c r="F275">
        <v>18.35</v>
      </c>
      <c r="G275">
        <v>24.19</v>
      </c>
      <c r="H275">
        <v>225.18</v>
      </c>
      <c r="I275">
        <v>18.61</v>
      </c>
      <c r="J275">
        <v>18.61</v>
      </c>
      <c r="K275">
        <v>88.3</v>
      </c>
      <c r="L275">
        <v>0</v>
      </c>
      <c r="M275">
        <v>20.2</v>
      </c>
      <c r="N275">
        <v>20.75</v>
      </c>
      <c r="O275">
        <v>246.23</v>
      </c>
    </row>
    <row r="276" spans="1:15" ht="15">
      <c r="A276" t="str">
        <f>"0047617351"</f>
        <v>0047617351</v>
      </c>
      <c r="B276" t="s">
        <v>6</v>
      </c>
      <c r="C276" t="str">
        <f t="shared" si="4"/>
        <v>14/01/01</v>
      </c>
      <c r="D276" t="s">
        <v>160</v>
      </c>
      <c r="E276">
        <v>18.17</v>
      </c>
      <c r="F276">
        <v>18.39</v>
      </c>
      <c r="G276">
        <v>31.82</v>
      </c>
      <c r="H276">
        <v>210.65</v>
      </c>
      <c r="I276">
        <v>19</v>
      </c>
      <c r="J276">
        <v>19.01</v>
      </c>
      <c r="K276">
        <v>124.72</v>
      </c>
      <c r="L276">
        <v>151.21</v>
      </c>
      <c r="M276">
        <v>19.09</v>
      </c>
      <c r="N276">
        <v>24.87</v>
      </c>
      <c r="O276">
        <v>226.12</v>
      </c>
    </row>
    <row r="277" spans="1:15" ht="15">
      <c r="A277" t="str">
        <f>"0108549651"</f>
        <v>0108549651</v>
      </c>
      <c r="B277" t="s">
        <v>60</v>
      </c>
      <c r="C277" t="str">
        <f t="shared" si="4"/>
        <v>14/01/01</v>
      </c>
      <c r="D277" t="s">
        <v>160</v>
      </c>
      <c r="E277">
        <v>18.85</v>
      </c>
      <c r="F277">
        <v>19.13</v>
      </c>
      <c r="G277">
        <v>33.53</v>
      </c>
      <c r="H277">
        <v>220.29</v>
      </c>
      <c r="I277">
        <v>19.37</v>
      </c>
      <c r="J277">
        <v>19.37</v>
      </c>
      <c r="K277">
        <v>98.7</v>
      </c>
      <c r="L277">
        <v>151.07</v>
      </c>
      <c r="M277">
        <v>19.37</v>
      </c>
      <c r="N277">
        <v>19.37</v>
      </c>
      <c r="O277">
        <v>238.87</v>
      </c>
    </row>
    <row r="278" spans="1:15" ht="15">
      <c r="A278" t="str">
        <f>"0035491251"</f>
        <v>0035491251</v>
      </c>
      <c r="B278" t="s">
        <v>7</v>
      </c>
      <c r="C278" t="str">
        <f t="shared" si="4"/>
        <v>14/01/01</v>
      </c>
      <c r="D278" t="s">
        <v>160</v>
      </c>
      <c r="E278">
        <v>23.01</v>
      </c>
      <c r="F278">
        <v>22.7</v>
      </c>
      <c r="G278">
        <v>31.19</v>
      </c>
      <c r="H278">
        <v>262.29</v>
      </c>
      <c r="I278">
        <v>31.19</v>
      </c>
      <c r="J278">
        <v>27.12</v>
      </c>
      <c r="K278">
        <v>134.11</v>
      </c>
      <c r="L278">
        <v>160.36</v>
      </c>
      <c r="M278">
        <v>24.55</v>
      </c>
      <c r="N278">
        <v>25.89</v>
      </c>
      <c r="O278">
        <v>291.29</v>
      </c>
    </row>
    <row r="279" spans="1:15" ht="15">
      <c r="A279" t="str">
        <f>"0113351351"</f>
        <v>0113351351</v>
      </c>
      <c r="B279" t="s">
        <v>63</v>
      </c>
      <c r="C279" t="str">
        <f t="shared" si="4"/>
        <v>14/01/01</v>
      </c>
      <c r="D279" t="s">
        <v>160</v>
      </c>
      <c r="E279">
        <v>22.56</v>
      </c>
      <c r="F279">
        <v>22.69</v>
      </c>
      <c r="G279">
        <v>25.34</v>
      </c>
      <c r="H279">
        <v>248.83</v>
      </c>
      <c r="I279">
        <v>23.55</v>
      </c>
      <c r="J279">
        <v>23.56</v>
      </c>
      <c r="K279">
        <v>132.6</v>
      </c>
      <c r="L279">
        <v>176.58</v>
      </c>
      <c r="M279">
        <v>23.73</v>
      </c>
      <c r="N279">
        <v>24.8</v>
      </c>
      <c r="O279">
        <v>290.35</v>
      </c>
    </row>
    <row r="280" spans="1:15" ht="15">
      <c r="A280" t="str">
        <f>"0099143352"</f>
        <v>0099143352</v>
      </c>
      <c r="B280" t="s">
        <v>50</v>
      </c>
      <c r="C280" t="str">
        <f t="shared" si="4"/>
        <v>14/01/01</v>
      </c>
      <c r="D280" t="s">
        <v>200</v>
      </c>
      <c r="E280">
        <v>17.7</v>
      </c>
      <c r="F280">
        <v>20.51</v>
      </c>
      <c r="G280">
        <v>28.91</v>
      </c>
      <c r="H280">
        <v>274.63</v>
      </c>
      <c r="I280">
        <v>30.21</v>
      </c>
      <c r="J280">
        <v>26.4</v>
      </c>
      <c r="K280">
        <v>123.38</v>
      </c>
      <c r="L280">
        <v>136.96</v>
      </c>
      <c r="M280">
        <v>17.58</v>
      </c>
      <c r="N280">
        <v>25.32</v>
      </c>
      <c r="O280">
        <v>314.27</v>
      </c>
    </row>
    <row r="281" spans="1:15" ht="15">
      <c r="A281" t="str">
        <f>"0173848552"</f>
        <v>0173848552</v>
      </c>
      <c r="B281" t="s">
        <v>99</v>
      </c>
      <c r="C281" t="str">
        <f t="shared" si="4"/>
        <v>14/01/01</v>
      </c>
      <c r="D281" t="s">
        <v>200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15.46</v>
      </c>
      <c r="N281">
        <v>0</v>
      </c>
      <c r="O281">
        <v>0</v>
      </c>
    </row>
    <row r="282" spans="1:15" ht="15">
      <c r="A282" t="str">
        <f>"0324945652"</f>
        <v>0324945652</v>
      </c>
      <c r="B282" t="s">
        <v>150</v>
      </c>
      <c r="C282" t="str">
        <f t="shared" si="4"/>
        <v>14/01/01</v>
      </c>
      <c r="D282" t="s">
        <v>200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16.88</v>
      </c>
      <c r="N282">
        <v>18.71</v>
      </c>
      <c r="O282">
        <v>179.44</v>
      </c>
    </row>
    <row r="283" spans="1:15" ht="15">
      <c r="A283" t="str">
        <f>"0173893052"</f>
        <v>0173893052</v>
      </c>
      <c r="B283" t="s">
        <v>100</v>
      </c>
      <c r="C283" t="str">
        <f t="shared" si="4"/>
        <v>14/01/01</v>
      </c>
      <c r="D283" t="s">
        <v>200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15.02</v>
      </c>
      <c r="N283">
        <v>18.7</v>
      </c>
      <c r="O283">
        <v>0</v>
      </c>
    </row>
    <row r="284" spans="1:15" ht="15">
      <c r="A284" t="str">
        <f>"0091059052"</f>
        <v>0091059052</v>
      </c>
      <c r="B284" t="s">
        <v>38</v>
      </c>
      <c r="C284" t="str">
        <f t="shared" si="4"/>
        <v>14/01/01</v>
      </c>
      <c r="D284" t="s">
        <v>200</v>
      </c>
      <c r="E284">
        <v>19.83</v>
      </c>
      <c r="F284">
        <v>19.15</v>
      </c>
      <c r="G284">
        <v>24</v>
      </c>
      <c r="H284">
        <v>210.71</v>
      </c>
      <c r="I284">
        <v>23.25</v>
      </c>
      <c r="J284">
        <v>23.01</v>
      </c>
      <c r="K284">
        <v>55.25</v>
      </c>
      <c r="L284">
        <v>95.17</v>
      </c>
      <c r="M284">
        <v>18</v>
      </c>
      <c r="N284">
        <v>20.73</v>
      </c>
      <c r="O284">
        <v>218.12</v>
      </c>
    </row>
    <row r="285" spans="1:15" ht="15">
      <c r="A285" t="str">
        <f>"0174097252"</f>
        <v>0174097252</v>
      </c>
      <c r="B285" t="s">
        <v>102</v>
      </c>
      <c r="C285" t="str">
        <f t="shared" si="4"/>
        <v>14/01/01</v>
      </c>
      <c r="D285" t="s">
        <v>200</v>
      </c>
      <c r="E285">
        <v>22.89</v>
      </c>
      <c r="F285">
        <v>23.13</v>
      </c>
      <c r="G285">
        <v>23.13</v>
      </c>
      <c r="H285">
        <v>251.27</v>
      </c>
      <c r="I285">
        <v>23.13</v>
      </c>
      <c r="J285">
        <v>23.13</v>
      </c>
      <c r="K285">
        <v>132.18</v>
      </c>
      <c r="L285">
        <v>82.57</v>
      </c>
      <c r="M285">
        <v>22.08</v>
      </c>
      <c r="N285">
        <v>22.85</v>
      </c>
      <c r="O285">
        <v>265.04</v>
      </c>
    </row>
    <row r="286" spans="1:15" ht="15">
      <c r="A286" t="str">
        <f>"0092528252"</f>
        <v>0092528252</v>
      </c>
      <c r="B286" t="s">
        <v>43</v>
      </c>
      <c r="C286" t="str">
        <f t="shared" si="4"/>
        <v>14/01/01</v>
      </c>
      <c r="D286" t="s">
        <v>200</v>
      </c>
      <c r="E286">
        <v>23.87</v>
      </c>
      <c r="F286">
        <v>23.87</v>
      </c>
      <c r="G286">
        <v>0</v>
      </c>
      <c r="H286">
        <v>0</v>
      </c>
      <c r="I286">
        <v>0</v>
      </c>
      <c r="J286">
        <v>0</v>
      </c>
      <c r="K286">
        <v>55.41</v>
      </c>
      <c r="L286">
        <v>0</v>
      </c>
      <c r="M286">
        <v>0</v>
      </c>
      <c r="N286">
        <v>0</v>
      </c>
      <c r="O286">
        <v>0</v>
      </c>
    </row>
    <row r="287" spans="1:15" ht="15">
      <c r="A287" t="str">
        <f>"0179766253"</f>
        <v>0179766253</v>
      </c>
      <c r="B287" t="s">
        <v>112</v>
      </c>
      <c r="C287" t="str">
        <f t="shared" si="4"/>
        <v>14/01/01</v>
      </c>
      <c r="D287" t="s">
        <v>184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14.02</v>
      </c>
      <c r="N287">
        <v>0</v>
      </c>
      <c r="O287">
        <v>0</v>
      </c>
    </row>
    <row r="288" spans="1:15" ht="15">
      <c r="A288" t="str">
        <f>"0059035453"</f>
        <v>0059035453</v>
      </c>
      <c r="B288" t="s">
        <v>22</v>
      </c>
      <c r="C288" t="str">
        <f t="shared" si="4"/>
        <v>14/01/01</v>
      </c>
      <c r="D288" t="s">
        <v>184</v>
      </c>
      <c r="E288">
        <v>21.46</v>
      </c>
      <c r="F288">
        <v>21.77</v>
      </c>
      <c r="G288">
        <v>0</v>
      </c>
      <c r="H288">
        <v>0</v>
      </c>
      <c r="I288">
        <v>0</v>
      </c>
      <c r="J288">
        <v>0</v>
      </c>
      <c r="K288">
        <v>82.49</v>
      </c>
      <c r="L288">
        <v>0</v>
      </c>
      <c r="M288">
        <v>0</v>
      </c>
      <c r="N288">
        <v>0</v>
      </c>
      <c r="O288">
        <v>0</v>
      </c>
    </row>
    <row r="289" spans="1:15" ht="15">
      <c r="A289" t="str">
        <f>"0174116653"</f>
        <v>0174116653</v>
      </c>
      <c r="B289" t="s">
        <v>104</v>
      </c>
      <c r="C289" t="str">
        <f t="shared" si="4"/>
        <v>14/01/01</v>
      </c>
      <c r="D289" t="s">
        <v>184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13.82</v>
      </c>
      <c r="N289">
        <v>0</v>
      </c>
      <c r="O289">
        <v>0</v>
      </c>
    </row>
    <row r="290" spans="1:15" ht="15">
      <c r="A290" t="str">
        <f>"0105243753"</f>
        <v>0105243753</v>
      </c>
      <c r="B290" t="s">
        <v>56</v>
      </c>
      <c r="C290" t="str">
        <f t="shared" si="4"/>
        <v>14/01/01</v>
      </c>
      <c r="D290" t="s">
        <v>184</v>
      </c>
      <c r="E290">
        <v>25.32</v>
      </c>
      <c r="F290">
        <v>25.46</v>
      </c>
      <c r="G290">
        <v>26.89</v>
      </c>
      <c r="H290">
        <v>251.37</v>
      </c>
      <c r="I290">
        <v>27.06</v>
      </c>
      <c r="J290">
        <v>26.86</v>
      </c>
      <c r="K290">
        <v>164.95</v>
      </c>
      <c r="L290">
        <v>0</v>
      </c>
      <c r="M290">
        <v>21.04</v>
      </c>
      <c r="N290">
        <v>23.41</v>
      </c>
      <c r="O290">
        <v>254.65</v>
      </c>
    </row>
    <row r="291" spans="1:15" ht="15">
      <c r="A291" t="str">
        <f>"0177646154"</f>
        <v>0177646154</v>
      </c>
      <c r="B291" t="s">
        <v>107</v>
      </c>
      <c r="C291" t="str">
        <f t="shared" si="4"/>
        <v>14/01/01</v>
      </c>
      <c r="D291" t="s">
        <v>191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9.65</v>
      </c>
      <c r="N291">
        <v>11.57</v>
      </c>
      <c r="O291">
        <v>106.12</v>
      </c>
    </row>
    <row r="292" spans="1:15" ht="15">
      <c r="A292" t="str">
        <f>"0080671754"</f>
        <v>0080671754</v>
      </c>
      <c r="B292" t="s">
        <v>25</v>
      </c>
      <c r="C292" t="str">
        <f t="shared" si="4"/>
        <v>14/01/01</v>
      </c>
      <c r="D292" t="s">
        <v>191</v>
      </c>
      <c r="E292">
        <v>21.33</v>
      </c>
      <c r="F292">
        <v>21.63</v>
      </c>
      <c r="G292">
        <v>0</v>
      </c>
      <c r="H292">
        <v>0</v>
      </c>
      <c r="I292">
        <v>0</v>
      </c>
      <c r="J292">
        <v>0</v>
      </c>
      <c r="K292">
        <v>43.39</v>
      </c>
      <c r="L292">
        <v>0</v>
      </c>
      <c r="M292">
        <v>0</v>
      </c>
      <c r="N292">
        <v>0</v>
      </c>
      <c r="O292">
        <v>0</v>
      </c>
    </row>
    <row r="293" spans="1:15" ht="15">
      <c r="A293" t="str">
        <f>"0105243754"</f>
        <v>0105243754</v>
      </c>
      <c r="B293" t="s">
        <v>56</v>
      </c>
      <c r="C293" t="str">
        <f t="shared" si="4"/>
        <v>14/01/01</v>
      </c>
      <c r="D293" t="s">
        <v>191</v>
      </c>
      <c r="E293">
        <v>22.76</v>
      </c>
      <c r="F293">
        <v>22.24</v>
      </c>
      <c r="G293">
        <v>26.9</v>
      </c>
      <c r="H293">
        <v>251.52</v>
      </c>
      <c r="I293">
        <v>26.69</v>
      </c>
      <c r="J293">
        <v>26.87</v>
      </c>
      <c r="K293">
        <v>157.13</v>
      </c>
      <c r="L293">
        <v>0</v>
      </c>
      <c r="M293">
        <v>21.07</v>
      </c>
      <c r="N293">
        <v>23.42</v>
      </c>
      <c r="O293">
        <v>254.7</v>
      </c>
    </row>
    <row r="294" spans="1:15" ht="15">
      <c r="A294" t="str">
        <f>"0128098255"</f>
        <v>0128098255</v>
      </c>
      <c r="B294" t="s">
        <v>69</v>
      </c>
      <c r="C294" t="str">
        <f t="shared" si="4"/>
        <v>14/01/01</v>
      </c>
      <c r="D294" t="s">
        <v>175</v>
      </c>
      <c r="E294">
        <v>25.99</v>
      </c>
      <c r="F294">
        <v>19.78</v>
      </c>
      <c r="G294">
        <v>25.99</v>
      </c>
      <c r="H294">
        <v>213.61</v>
      </c>
      <c r="I294">
        <v>25.99</v>
      </c>
      <c r="J294">
        <v>25.99</v>
      </c>
      <c r="K294">
        <v>154.04</v>
      </c>
      <c r="L294">
        <v>136.14</v>
      </c>
      <c r="M294">
        <v>23.85</v>
      </c>
      <c r="N294">
        <v>25.41</v>
      </c>
      <c r="O294">
        <v>216.9</v>
      </c>
    </row>
    <row r="295" spans="1:15" ht="15">
      <c r="A295" t="str">
        <f>"0099143355"</f>
        <v>0099143355</v>
      </c>
      <c r="B295" t="s">
        <v>50</v>
      </c>
      <c r="C295" t="str">
        <f t="shared" si="4"/>
        <v>14/01/01</v>
      </c>
      <c r="D295" t="s">
        <v>175</v>
      </c>
      <c r="E295">
        <v>19.39</v>
      </c>
      <c r="F295">
        <v>21.42</v>
      </c>
      <c r="G295">
        <v>24.57</v>
      </c>
      <c r="H295">
        <v>218.9</v>
      </c>
      <c r="I295">
        <v>30.84</v>
      </c>
      <c r="J295">
        <v>26.76</v>
      </c>
      <c r="K295">
        <v>128.32</v>
      </c>
      <c r="L295">
        <v>164.98</v>
      </c>
      <c r="M295">
        <v>25.85</v>
      </c>
      <c r="N295">
        <v>24.87</v>
      </c>
      <c r="O295">
        <v>282.24</v>
      </c>
    </row>
    <row r="296" spans="1:15" ht="15">
      <c r="A296" t="str">
        <f>"0173848555"</f>
        <v>0173848555</v>
      </c>
      <c r="B296" t="s">
        <v>99</v>
      </c>
      <c r="C296" t="str">
        <f t="shared" si="4"/>
        <v>14/01/01</v>
      </c>
      <c r="D296" t="s">
        <v>175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16.71</v>
      </c>
      <c r="N296">
        <v>0</v>
      </c>
      <c r="O296">
        <v>0</v>
      </c>
    </row>
    <row r="297" spans="1:15" ht="15">
      <c r="A297" t="str">
        <f>"0116304255"</f>
        <v>0116304255</v>
      </c>
      <c r="B297" t="s">
        <v>64</v>
      </c>
      <c r="C297" t="str">
        <f t="shared" si="4"/>
        <v>14/01/01</v>
      </c>
      <c r="D297" t="s">
        <v>175</v>
      </c>
      <c r="E297">
        <v>19.26</v>
      </c>
      <c r="F297">
        <v>19.65</v>
      </c>
      <c r="G297">
        <v>19.74</v>
      </c>
      <c r="H297">
        <v>217.22</v>
      </c>
      <c r="I297">
        <v>19.96</v>
      </c>
      <c r="J297">
        <v>19.19</v>
      </c>
      <c r="K297">
        <v>84.83</v>
      </c>
      <c r="L297">
        <v>83.59</v>
      </c>
      <c r="M297">
        <v>17.84</v>
      </c>
      <c r="N297">
        <v>19.4</v>
      </c>
      <c r="O297">
        <v>204.06</v>
      </c>
    </row>
    <row r="298" spans="1:15" ht="15">
      <c r="A298" t="str">
        <f>"0094476155"</f>
        <v>0094476155</v>
      </c>
      <c r="B298" t="s">
        <v>44</v>
      </c>
      <c r="C298" t="str">
        <f t="shared" si="4"/>
        <v>14/01/01</v>
      </c>
      <c r="D298" t="s">
        <v>175</v>
      </c>
      <c r="E298">
        <v>0</v>
      </c>
      <c r="F298">
        <v>20.16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</row>
    <row r="299" spans="1:15" ht="15">
      <c r="A299" t="str">
        <f>"0324945655"</f>
        <v>0324945655</v>
      </c>
      <c r="B299" t="s">
        <v>150</v>
      </c>
      <c r="C299" t="str">
        <f t="shared" si="4"/>
        <v>14/01/01</v>
      </c>
      <c r="D299" t="s">
        <v>175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16.88</v>
      </c>
      <c r="N299">
        <v>18.71</v>
      </c>
      <c r="O299">
        <v>179.44</v>
      </c>
    </row>
    <row r="300" spans="1:15" ht="15">
      <c r="A300" t="str">
        <f>"0173893055"</f>
        <v>0173893055</v>
      </c>
      <c r="B300" t="s">
        <v>100</v>
      </c>
      <c r="C300" t="str">
        <f t="shared" si="4"/>
        <v>14/01/01</v>
      </c>
      <c r="D300" t="s">
        <v>175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15.14</v>
      </c>
      <c r="N300">
        <v>17.9</v>
      </c>
      <c r="O300">
        <v>0</v>
      </c>
    </row>
    <row r="301" spans="1:15" ht="15">
      <c r="A301" t="str">
        <f>"0091059055"</f>
        <v>0091059055</v>
      </c>
      <c r="B301" t="s">
        <v>38</v>
      </c>
      <c r="C301" t="str">
        <f t="shared" si="4"/>
        <v>14/01/01</v>
      </c>
      <c r="D301" t="s">
        <v>175</v>
      </c>
      <c r="E301">
        <v>18.66</v>
      </c>
      <c r="F301">
        <v>19.24</v>
      </c>
      <c r="G301">
        <v>24.04</v>
      </c>
      <c r="H301">
        <v>222.31</v>
      </c>
      <c r="I301">
        <v>23.3</v>
      </c>
      <c r="J301">
        <v>23.05</v>
      </c>
      <c r="K301">
        <v>54.21</v>
      </c>
      <c r="L301">
        <v>95.45</v>
      </c>
      <c r="M301">
        <v>17.72</v>
      </c>
      <c r="N301">
        <v>20.74</v>
      </c>
      <c r="O301">
        <v>212.59</v>
      </c>
    </row>
    <row r="302" spans="1:15" ht="15">
      <c r="A302" t="str">
        <f>"0174097255"</f>
        <v>0174097255</v>
      </c>
      <c r="B302" t="s">
        <v>101</v>
      </c>
      <c r="C302" t="str">
        <f t="shared" si="4"/>
        <v>14/01/01</v>
      </c>
      <c r="D302" t="s">
        <v>175</v>
      </c>
      <c r="E302">
        <v>20.83</v>
      </c>
      <c r="F302">
        <v>19.47</v>
      </c>
      <c r="G302">
        <v>20.38</v>
      </c>
      <c r="H302">
        <v>216.92</v>
      </c>
      <c r="I302">
        <v>17.95</v>
      </c>
      <c r="J302">
        <v>13.04</v>
      </c>
      <c r="K302">
        <v>83.51</v>
      </c>
      <c r="L302">
        <v>96.39</v>
      </c>
      <c r="M302">
        <v>19.4</v>
      </c>
      <c r="N302">
        <v>21.17</v>
      </c>
      <c r="O302">
        <v>0</v>
      </c>
    </row>
    <row r="303" spans="1:15" ht="15">
      <c r="A303" t="str">
        <f>"0091093055"</f>
        <v>0091093055</v>
      </c>
      <c r="B303" t="s">
        <v>39</v>
      </c>
      <c r="C303" t="str">
        <f t="shared" si="4"/>
        <v>14/01/01</v>
      </c>
      <c r="D303" t="s">
        <v>175</v>
      </c>
      <c r="E303">
        <v>21.25</v>
      </c>
      <c r="F303">
        <v>21.54</v>
      </c>
      <c r="G303">
        <v>22.56</v>
      </c>
      <c r="H303">
        <v>0</v>
      </c>
      <c r="I303">
        <v>22.37</v>
      </c>
      <c r="J303">
        <v>22</v>
      </c>
      <c r="K303">
        <v>82.49</v>
      </c>
      <c r="L303">
        <v>82.49</v>
      </c>
      <c r="M303">
        <v>0</v>
      </c>
      <c r="N303">
        <v>0</v>
      </c>
      <c r="O303">
        <v>0</v>
      </c>
    </row>
    <row r="304" spans="1:15" ht="15">
      <c r="A304" t="str">
        <f>"0035491255"</f>
        <v>0035491255</v>
      </c>
      <c r="B304" t="s">
        <v>7</v>
      </c>
      <c r="C304" t="str">
        <f t="shared" si="4"/>
        <v>14/01/01</v>
      </c>
      <c r="D304" t="s">
        <v>175</v>
      </c>
      <c r="E304">
        <v>18.83</v>
      </c>
      <c r="F304">
        <v>19.29</v>
      </c>
      <c r="G304">
        <v>21.6</v>
      </c>
      <c r="H304">
        <v>202.99</v>
      </c>
      <c r="I304">
        <v>27.97</v>
      </c>
      <c r="J304">
        <v>27.2</v>
      </c>
      <c r="K304">
        <v>164.99</v>
      </c>
      <c r="L304">
        <v>89.08</v>
      </c>
      <c r="M304">
        <v>15.8</v>
      </c>
      <c r="N304">
        <v>25.11</v>
      </c>
      <c r="O304">
        <v>189.44</v>
      </c>
    </row>
    <row r="305" spans="1:15" ht="15">
      <c r="A305" t="str">
        <f>"0179301756"</f>
        <v>0179301756</v>
      </c>
      <c r="B305" t="s">
        <v>109</v>
      </c>
      <c r="C305" t="str">
        <f t="shared" si="4"/>
        <v>14/01/01</v>
      </c>
      <c r="D305" t="s">
        <v>177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14.6</v>
      </c>
      <c r="N305">
        <v>18.75</v>
      </c>
      <c r="O305">
        <v>0</v>
      </c>
    </row>
    <row r="306" spans="1:15" ht="15">
      <c r="A306" t="str">
        <f>"0215044356"</f>
        <v>0215044356</v>
      </c>
      <c r="B306" t="s">
        <v>124</v>
      </c>
      <c r="C306" t="str">
        <f t="shared" si="4"/>
        <v>14/01/01</v>
      </c>
      <c r="D306" t="s">
        <v>177</v>
      </c>
      <c r="E306">
        <v>20.76</v>
      </c>
      <c r="F306">
        <v>21.06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18.02</v>
      </c>
      <c r="N306">
        <v>20</v>
      </c>
      <c r="O306">
        <v>234.9</v>
      </c>
    </row>
    <row r="307" spans="1:15" ht="15">
      <c r="A307" t="str">
        <f>"0035807656"</f>
        <v>0035807656</v>
      </c>
      <c r="B307" t="s">
        <v>9</v>
      </c>
      <c r="C307" t="str">
        <f t="shared" si="4"/>
        <v>14/01/01</v>
      </c>
      <c r="D307" t="s">
        <v>177</v>
      </c>
      <c r="E307">
        <v>20.04</v>
      </c>
      <c r="F307">
        <v>20.48</v>
      </c>
      <c r="G307">
        <v>0</v>
      </c>
      <c r="H307">
        <v>0</v>
      </c>
      <c r="I307">
        <v>0</v>
      </c>
      <c r="J307">
        <v>0</v>
      </c>
      <c r="K307">
        <v>82.49</v>
      </c>
      <c r="L307">
        <v>82.49</v>
      </c>
      <c r="M307">
        <v>17.44</v>
      </c>
      <c r="N307">
        <v>19.21</v>
      </c>
      <c r="O307">
        <v>0</v>
      </c>
    </row>
    <row r="308" spans="1:15" ht="15">
      <c r="A308" t="str">
        <f>"0089173656"</f>
        <v>0089173656</v>
      </c>
      <c r="B308" t="s">
        <v>33</v>
      </c>
      <c r="C308" t="str">
        <f t="shared" si="4"/>
        <v>14/01/01</v>
      </c>
      <c r="D308" t="s">
        <v>177</v>
      </c>
      <c r="E308">
        <v>21.45</v>
      </c>
      <c r="F308">
        <v>21.76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</row>
    <row r="309" spans="1:15" ht="15">
      <c r="A309" t="str">
        <f>"0170109156"</f>
        <v>0170109156</v>
      </c>
      <c r="B309" t="s">
        <v>92</v>
      </c>
      <c r="C309" t="str">
        <f t="shared" si="4"/>
        <v>14/01/01</v>
      </c>
      <c r="D309" t="s">
        <v>177</v>
      </c>
      <c r="E309">
        <v>20.81</v>
      </c>
      <c r="F309">
        <v>18.4</v>
      </c>
      <c r="G309">
        <v>27.41</v>
      </c>
      <c r="H309">
        <v>255.61</v>
      </c>
      <c r="I309">
        <v>27.2</v>
      </c>
      <c r="J309">
        <v>26.57</v>
      </c>
      <c r="K309">
        <v>82.49</v>
      </c>
      <c r="L309">
        <v>82.49</v>
      </c>
      <c r="M309">
        <v>18.2</v>
      </c>
      <c r="N309">
        <v>16.76</v>
      </c>
      <c r="O309">
        <v>236.68</v>
      </c>
    </row>
    <row r="310" spans="1:15" ht="15">
      <c r="A310" t="str">
        <f>"0179301757"</f>
        <v>0179301757</v>
      </c>
      <c r="B310" t="s">
        <v>109</v>
      </c>
      <c r="C310" t="str">
        <f t="shared" si="4"/>
        <v>14/01/01</v>
      </c>
      <c r="D310" t="s">
        <v>178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14.77</v>
      </c>
      <c r="N310">
        <v>18.91</v>
      </c>
      <c r="O310">
        <v>0</v>
      </c>
    </row>
    <row r="311" spans="1:15" ht="15">
      <c r="A311" t="str">
        <f>"0215044357"</f>
        <v>0215044357</v>
      </c>
      <c r="B311" t="s">
        <v>124</v>
      </c>
      <c r="C311" t="str">
        <f t="shared" si="4"/>
        <v>14/01/01</v>
      </c>
      <c r="D311" t="s">
        <v>178</v>
      </c>
      <c r="E311">
        <v>21.48</v>
      </c>
      <c r="F311">
        <v>21.13</v>
      </c>
      <c r="G311">
        <v>0</v>
      </c>
      <c r="H311">
        <v>0</v>
      </c>
      <c r="I311">
        <v>0</v>
      </c>
      <c r="J311">
        <v>0</v>
      </c>
      <c r="K311">
        <v>83.55</v>
      </c>
      <c r="L311">
        <v>83.55</v>
      </c>
      <c r="M311">
        <v>0</v>
      </c>
      <c r="N311">
        <v>0</v>
      </c>
      <c r="O311">
        <v>0</v>
      </c>
    </row>
    <row r="312" spans="1:15" ht="15">
      <c r="A312" t="str">
        <f>"0296979957"</f>
        <v>0296979957</v>
      </c>
      <c r="B312" t="s">
        <v>142</v>
      </c>
      <c r="C312" t="str">
        <f t="shared" si="4"/>
        <v>14/01/01</v>
      </c>
      <c r="D312" t="s">
        <v>178</v>
      </c>
      <c r="E312">
        <v>20.27</v>
      </c>
      <c r="F312">
        <v>20.59</v>
      </c>
      <c r="G312">
        <v>0</v>
      </c>
      <c r="H312">
        <v>0</v>
      </c>
      <c r="I312">
        <v>0</v>
      </c>
      <c r="J312">
        <v>0</v>
      </c>
      <c r="K312">
        <v>63.65</v>
      </c>
      <c r="L312">
        <v>63.65</v>
      </c>
      <c r="M312">
        <v>0</v>
      </c>
      <c r="N312">
        <v>0</v>
      </c>
      <c r="O312">
        <v>0</v>
      </c>
    </row>
    <row r="313" spans="1:15" ht="15">
      <c r="A313" t="str">
        <f>"0035807657"</f>
        <v>0035807657</v>
      </c>
      <c r="B313" t="s">
        <v>9</v>
      </c>
      <c r="C313" t="str">
        <f t="shared" si="4"/>
        <v>14/01/01</v>
      </c>
      <c r="D313" t="s">
        <v>178</v>
      </c>
      <c r="E313">
        <v>0</v>
      </c>
      <c r="F313">
        <v>20.87</v>
      </c>
      <c r="G313">
        <v>0</v>
      </c>
      <c r="H313">
        <v>0</v>
      </c>
      <c r="I313">
        <v>0</v>
      </c>
      <c r="J313">
        <v>0</v>
      </c>
      <c r="K313">
        <v>82.49</v>
      </c>
      <c r="L313">
        <v>82.49</v>
      </c>
      <c r="M313">
        <v>17.57</v>
      </c>
      <c r="N313">
        <v>19.19</v>
      </c>
      <c r="O313">
        <v>0</v>
      </c>
    </row>
    <row r="314" spans="1:15" ht="15">
      <c r="A314" t="str">
        <f>"0089173657"</f>
        <v>0089173657</v>
      </c>
      <c r="B314" t="s">
        <v>33</v>
      </c>
      <c r="C314" t="str">
        <f t="shared" si="4"/>
        <v>14/01/01</v>
      </c>
      <c r="D314" t="s">
        <v>178</v>
      </c>
      <c r="E314">
        <v>21.36</v>
      </c>
      <c r="F314">
        <v>21.73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</row>
    <row r="315" spans="1:15" ht="15">
      <c r="A315" t="str">
        <f>"0170109157"</f>
        <v>0170109157</v>
      </c>
      <c r="B315" t="s">
        <v>92</v>
      </c>
      <c r="C315" t="str">
        <f t="shared" si="4"/>
        <v>14/01/01</v>
      </c>
      <c r="D315" t="s">
        <v>178</v>
      </c>
      <c r="E315">
        <v>20.53</v>
      </c>
      <c r="F315">
        <v>18.52</v>
      </c>
      <c r="G315">
        <v>27.41</v>
      </c>
      <c r="H315">
        <v>255.61</v>
      </c>
      <c r="I315">
        <v>27.2</v>
      </c>
      <c r="J315">
        <v>26.57</v>
      </c>
      <c r="K315">
        <v>82.49</v>
      </c>
      <c r="L315">
        <v>82.49</v>
      </c>
      <c r="M315">
        <v>18.11</v>
      </c>
      <c r="N315">
        <v>17.21</v>
      </c>
      <c r="O315">
        <v>236.68</v>
      </c>
    </row>
    <row r="316" spans="1:15" ht="15">
      <c r="A316" t="str">
        <f>"0194568858"</f>
        <v>0194568858</v>
      </c>
      <c r="B316" t="s">
        <v>116</v>
      </c>
      <c r="C316" t="str">
        <f t="shared" si="4"/>
        <v>14/01/01</v>
      </c>
      <c r="D316" t="s">
        <v>213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15.31</v>
      </c>
      <c r="N316">
        <v>16.34</v>
      </c>
      <c r="O316">
        <v>0</v>
      </c>
    </row>
    <row r="317" spans="1:15" ht="15">
      <c r="A317" t="str">
        <f>"0147051158"</f>
        <v>0147051158</v>
      </c>
      <c r="B317" t="s">
        <v>81</v>
      </c>
      <c r="C317" t="str">
        <f t="shared" si="4"/>
        <v>14/01/01</v>
      </c>
      <c r="D317" t="s">
        <v>213</v>
      </c>
      <c r="E317">
        <v>26.04</v>
      </c>
      <c r="F317">
        <v>26.01</v>
      </c>
      <c r="G317">
        <v>28.3</v>
      </c>
      <c r="H317">
        <v>0</v>
      </c>
      <c r="I317">
        <v>27.33</v>
      </c>
      <c r="J317">
        <v>26.49</v>
      </c>
      <c r="K317">
        <v>114.82</v>
      </c>
      <c r="L317">
        <v>114.82</v>
      </c>
      <c r="M317">
        <v>0</v>
      </c>
      <c r="N317">
        <v>0</v>
      </c>
      <c r="O317">
        <v>0</v>
      </c>
    </row>
    <row r="318" spans="1:15" ht="15">
      <c r="A318" t="str">
        <f>"0054673659"</f>
        <v>0054673659</v>
      </c>
      <c r="B318" t="s">
        <v>16</v>
      </c>
      <c r="C318" t="str">
        <f t="shared" si="4"/>
        <v>14/01/01</v>
      </c>
      <c r="D318" t="s">
        <v>161</v>
      </c>
      <c r="E318">
        <v>20.05</v>
      </c>
      <c r="F318">
        <v>20.06</v>
      </c>
      <c r="G318">
        <v>20.62</v>
      </c>
      <c r="H318">
        <v>235.66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</row>
    <row r="319" spans="1:15" ht="15">
      <c r="A319" t="str">
        <f>"0296748059"</f>
        <v>0296748059</v>
      </c>
      <c r="B319" t="s">
        <v>141</v>
      </c>
      <c r="C319" t="str">
        <f t="shared" si="4"/>
        <v>14/01/01</v>
      </c>
      <c r="D319" t="s">
        <v>161</v>
      </c>
      <c r="E319">
        <v>19.36</v>
      </c>
      <c r="F319">
        <v>20.26</v>
      </c>
      <c r="G319">
        <v>19.36</v>
      </c>
      <c r="H319">
        <v>227.39</v>
      </c>
      <c r="I319">
        <v>19.36</v>
      </c>
      <c r="J319">
        <v>19.36</v>
      </c>
      <c r="K319">
        <v>88.3</v>
      </c>
      <c r="L319">
        <v>88.3</v>
      </c>
      <c r="M319">
        <v>18.77</v>
      </c>
      <c r="N319">
        <v>20.47</v>
      </c>
      <c r="O319">
        <v>0</v>
      </c>
    </row>
    <row r="320" spans="1:15" ht="15">
      <c r="A320" t="str">
        <f>"0035467859"</f>
        <v>0035467859</v>
      </c>
      <c r="B320" t="s">
        <v>4</v>
      </c>
      <c r="C320" t="str">
        <f t="shared" si="4"/>
        <v>14/01/01</v>
      </c>
      <c r="D320" t="s">
        <v>161</v>
      </c>
      <c r="E320">
        <v>21.68</v>
      </c>
      <c r="F320">
        <v>21.96</v>
      </c>
      <c r="G320">
        <v>38.19</v>
      </c>
      <c r="H320">
        <v>250.79</v>
      </c>
      <c r="I320">
        <v>35.69</v>
      </c>
      <c r="J320">
        <v>21.22</v>
      </c>
      <c r="K320">
        <v>73.15</v>
      </c>
      <c r="L320">
        <v>0</v>
      </c>
      <c r="M320">
        <v>25.12</v>
      </c>
      <c r="N320">
        <v>26.16</v>
      </c>
      <c r="O320">
        <v>303.01</v>
      </c>
    </row>
    <row r="321" spans="1:15" ht="15">
      <c r="A321" t="str">
        <f>"0099157559"</f>
        <v>0099157559</v>
      </c>
      <c r="B321" t="s">
        <v>52</v>
      </c>
      <c r="C321" t="str">
        <f t="shared" si="4"/>
        <v>14/01/01</v>
      </c>
      <c r="D321" t="s">
        <v>161</v>
      </c>
      <c r="E321">
        <v>22.8</v>
      </c>
      <c r="F321">
        <v>23.36</v>
      </c>
      <c r="G321">
        <v>27.4</v>
      </c>
      <c r="H321">
        <v>248.87</v>
      </c>
      <c r="I321">
        <v>27.66</v>
      </c>
      <c r="J321">
        <v>30.8</v>
      </c>
      <c r="K321">
        <v>0</v>
      </c>
      <c r="L321">
        <v>0</v>
      </c>
      <c r="M321">
        <v>20.45</v>
      </c>
      <c r="N321">
        <v>21.29</v>
      </c>
      <c r="O321">
        <v>245.24</v>
      </c>
    </row>
    <row r="322" spans="1:15" ht="15">
      <c r="A322" t="str">
        <f>"0084696059"</f>
        <v>0084696059</v>
      </c>
      <c r="B322" t="s">
        <v>30</v>
      </c>
      <c r="C322" t="str">
        <f t="shared" si="4"/>
        <v>14/01/01</v>
      </c>
      <c r="D322" t="s">
        <v>161</v>
      </c>
      <c r="E322">
        <v>15.13</v>
      </c>
      <c r="F322">
        <v>18.33</v>
      </c>
      <c r="G322">
        <v>23.27</v>
      </c>
      <c r="H322">
        <v>211.27</v>
      </c>
      <c r="I322">
        <v>17.82</v>
      </c>
      <c r="J322">
        <v>18.15</v>
      </c>
      <c r="K322">
        <v>0</v>
      </c>
      <c r="L322">
        <v>0</v>
      </c>
      <c r="M322">
        <v>18.12</v>
      </c>
      <c r="N322">
        <v>24.92</v>
      </c>
      <c r="O322">
        <v>219.72</v>
      </c>
    </row>
    <row r="323" spans="1:15" ht="15">
      <c r="A323" t="str">
        <f>"0099143359"</f>
        <v>0099143359</v>
      </c>
      <c r="B323" t="s">
        <v>50</v>
      </c>
      <c r="C323" t="str">
        <f t="shared" si="4"/>
        <v>14/01/01</v>
      </c>
      <c r="D323" t="s">
        <v>161</v>
      </c>
      <c r="E323">
        <v>18.91</v>
      </c>
      <c r="F323">
        <v>21.87</v>
      </c>
      <c r="G323">
        <v>28.12</v>
      </c>
      <c r="H323">
        <v>251.73</v>
      </c>
      <c r="I323">
        <v>35.96</v>
      </c>
      <c r="J323">
        <v>30.23</v>
      </c>
      <c r="K323">
        <v>176.59</v>
      </c>
      <c r="L323">
        <v>176.59</v>
      </c>
      <c r="M323">
        <v>19.2</v>
      </c>
      <c r="N323">
        <v>20.69</v>
      </c>
      <c r="O323">
        <v>223.44</v>
      </c>
    </row>
    <row r="324" spans="1:15" ht="15">
      <c r="A324" t="str">
        <f>"0331460159"</f>
        <v>0331460159</v>
      </c>
      <c r="B324" t="s">
        <v>153</v>
      </c>
      <c r="C324" t="str">
        <f t="shared" si="4"/>
        <v>14/01/01</v>
      </c>
      <c r="D324" t="s">
        <v>161</v>
      </c>
      <c r="E324">
        <v>19.38</v>
      </c>
      <c r="F324">
        <v>20.1</v>
      </c>
      <c r="G324">
        <v>34.36</v>
      </c>
      <c r="H324">
        <v>221.31</v>
      </c>
      <c r="I324">
        <v>36.36</v>
      </c>
      <c r="J324">
        <v>30.42</v>
      </c>
      <c r="K324">
        <v>167.71</v>
      </c>
      <c r="L324">
        <v>167.71</v>
      </c>
      <c r="M324">
        <v>27.23</v>
      </c>
      <c r="N324">
        <v>29.89</v>
      </c>
      <c r="O324">
        <v>325.75</v>
      </c>
    </row>
    <row r="325" spans="1:15" ht="15">
      <c r="A325" t="str">
        <f>"0078841859"</f>
        <v>0078841859</v>
      </c>
      <c r="B325" t="s">
        <v>24</v>
      </c>
      <c r="C325" t="str">
        <f t="shared" si="4"/>
        <v>14/01/01</v>
      </c>
      <c r="D325" t="s">
        <v>161</v>
      </c>
      <c r="E325">
        <v>19.76</v>
      </c>
      <c r="F325">
        <v>18.84</v>
      </c>
      <c r="G325">
        <v>24.6</v>
      </c>
      <c r="H325">
        <v>226.39</v>
      </c>
      <c r="I325">
        <v>18.96</v>
      </c>
      <c r="J325">
        <v>24.6</v>
      </c>
      <c r="K325">
        <v>0</v>
      </c>
      <c r="L325">
        <v>0</v>
      </c>
      <c r="M325">
        <v>21.95</v>
      </c>
      <c r="N325">
        <v>23.94</v>
      </c>
      <c r="O325">
        <v>269.77</v>
      </c>
    </row>
    <row r="326" spans="1:15" ht="15">
      <c r="A326" t="str">
        <f>"0105254259"</f>
        <v>0105254259</v>
      </c>
      <c r="B326" t="s">
        <v>58</v>
      </c>
      <c r="C326" t="str">
        <f t="shared" si="4"/>
        <v>14/01/01</v>
      </c>
      <c r="D326" t="s">
        <v>161</v>
      </c>
      <c r="E326">
        <v>20.23</v>
      </c>
      <c r="F326">
        <v>16.21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</row>
    <row r="327" spans="1:15" ht="15">
      <c r="A327" t="str">
        <f>"0166411759"</f>
        <v>0166411759</v>
      </c>
      <c r="B327" t="s">
        <v>89</v>
      </c>
      <c r="C327" t="str">
        <f aca="true" t="shared" si="5" ref="C327:C353">"14/01/01"</f>
        <v>14/01/01</v>
      </c>
      <c r="D327" t="s">
        <v>161</v>
      </c>
      <c r="E327">
        <v>21.88</v>
      </c>
      <c r="F327">
        <v>23.15</v>
      </c>
      <c r="G327">
        <v>23.86</v>
      </c>
      <c r="H327">
        <v>243.98</v>
      </c>
      <c r="I327">
        <v>25.85</v>
      </c>
      <c r="J327">
        <v>22.84</v>
      </c>
      <c r="K327">
        <v>0</v>
      </c>
      <c r="L327">
        <v>0</v>
      </c>
      <c r="M327">
        <v>23.43</v>
      </c>
      <c r="N327">
        <v>24.72</v>
      </c>
      <c r="O327">
        <v>213.94</v>
      </c>
    </row>
    <row r="328" spans="1:15" ht="15">
      <c r="A328" t="str">
        <f>"0054661259"</f>
        <v>0054661259</v>
      </c>
      <c r="B328" t="s">
        <v>14</v>
      </c>
      <c r="C328" t="str">
        <f t="shared" si="5"/>
        <v>14/01/01</v>
      </c>
      <c r="D328" t="s">
        <v>161</v>
      </c>
      <c r="E328">
        <v>18.89</v>
      </c>
      <c r="F328">
        <v>20.05</v>
      </c>
      <c r="G328">
        <v>28.25</v>
      </c>
      <c r="H328">
        <v>240.72</v>
      </c>
      <c r="I328">
        <v>21.07</v>
      </c>
      <c r="J328">
        <v>21.07</v>
      </c>
      <c r="K328">
        <v>0</v>
      </c>
      <c r="L328">
        <v>0</v>
      </c>
      <c r="M328">
        <v>20.41</v>
      </c>
      <c r="N328">
        <v>24.91</v>
      </c>
      <c r="O328">
        <v>311.79</v>
      </c>
    </row>
    <row r="329" spans="1:15" ht="15">
      <c r="A329" t="str">
        <f>"0054660359"</f>
        <v>0054660359</v>
      </c>
      <c r="B329" t="s">
        <v>13</v>
      </c>
      <c r="C329" t="str">
        <f t="shared" si="5"/>
        <v>14/01/01</v>
      </c>
      <c r="D329" t="s">
        <v>161</v>
      </c>
      <c r="E329">
        <v>22.12</v>
      </c>
      <c r="F329">
        <v>22.85</v>
      </c>
      <c r="G329">
        <v>27.47</v>
      </c>
      <c r="H329">
        <v>261.21</v>
      </c>
      <c r="I329">
        <v>23.61</v>
      </c>
      <c r="J329">
        <v>23.23</v>
      </c>
      <c r="K329">
        <v>0</v>
      </c>
      <c r="L329">
        <v>0</v>
      </c>
      <c r="M329">
        <v>18.87</v>
      </c>
      <c r="N329">
        <v>20.88</v>
      </c>
      <c r="O329">
        <v>228.24</v>
      </c>
    </row>
    <row r="330" spans="1:15" ht="15">
      <c r="A330" t="str">
        <f>"0179472959"</f>
        <v>0179472959</v>
      </c>
      <c r="B330" t="s">
        <v>110</v>
      </c>
      <c r="C330" t="str">
        <f t="shared" si="5"/>
        <v>14/01/01</v>
      </c>
      <c r="D330" t="s">
        <v>161</v>
      </c>
      <c r="E330">
        <v>22.44</v>
      </c>
      <c r="F330">
        <v>22.71</v>
      </c>
      <c r="G330">
        <v>25.47</v>
      </c>
      <c r="H330">
        <v>259.81</v>
      </c>
      <c r="I330">
        <v>22.28</v>
      </c>
      <c r="J330">
        <v>24.99</v>
      </c>
      <c r="K330">
        <v>63.67</v>
      </c>
      <c r="L330">
        <v>90.17</v>
      </c>
      <c r="M330">
        <v>18.83</v>
      </c>
      <c r="N330">
        <v>19.33</v>
      </c>
      <c r="O330">
        <v>240.27</v>
      </c>
    </row>
    <row r="331" spans="1:15" ht="15">
      <c r="A331" t="str">
        <f>"0165664259"</f>
        <v>0165664259</v>
      </c>
      <c r="B331" t="s">
        <v>5</v>
      </c>
      <c r="C331" t="str">
        <f t="shared" si="5"/>
        <v>14/01/01</v>
      </c>
      <c r="D331" t="s">
        <v>161</v>
      </c>
      <c r="E331">
        <v>20.89</v>
      </c>
      <c r="F331">
        <v>22.02</v>
      </c>
      <c r="G331">
        <v>28.72</v>
      </c>
      <c r="H331">
        <v>250.69</v>
      </c>
      <c r="I331">
        <v>33.8</v>
      </c>
      <c r="J331">
        <v>32.56</v>
      </c>
      <c r="K331">
        <v>0</v>
      </c>
      <c r="L331">
        <v>0</v>
      </c>
      <c r="M331">
        <v>23.92</v>
      </c>
      <c r="N331">
        <v>24.61</v>
      </c>
      <c r="O331">
        <v>292.9</v>
      </c>
    </row>
    <row r="332" spans="1:15" ht="15">
      <c r="A332" t="str">
        <f>"0054665859"</f>
        <v>0054665859</v>
      </c>
      <c r="B332" t="s">
        <v>15</v>
      </c>
      <c r="C332" t="str">
        <f t="shared" si="5"/>
        <v>14/01/01</v>
      </c>
      <c r="D332" t="s">
        <v>161</v>
      </c>
      <c r="E332">
        <v>22.61</v>
      </c>
      <c r="F332">
        <v>22.81</v>
      </c>
      <c r="G332">
        <v>25.95</v>
      </c>
      <c r="H332">
        <v>261.93</v>
      </c>
      <c r="I332">
        <v>0</v>
      </c>
      <c r="J332">
        <v>0</v>
      </c>
      <c r="K332">
        <v>0</v>
      </c>
      <c r="L332">
        <v>0</v>
      </c>
      <c r="M332">
        <v>20.77</v>
      </c>
      <c r="N332">
        <v>21.32</v>
      </c>
      <c r="O332">
        <v>249.26</v>
      </c>
    </row>
    <row r="333" spans="1:15" ht="15">
      <c r="A333" t="str">
        <f>"0166968559"</f>
        <v>0166968559</v>
      </c>
      <c r="B333" t="s">
        <v>91</v>
      </c>
      <c r="C333" t="str">
        <f t="shared" si="5"/>
        <v>14/01/01</v>
      </c>
      <c r="D333" t="s">
        <v>161</v>
      </c>
      <c r="E333">
        <v>22.12</v>
      </c>
      <c r="F333">
        <v>23.35</v>
      </c>
      <c r="G333">
        <v>31.94</v>
      </c>
      <c r="H333">
        <v>242.09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</row>
    <row r="334" spans="1:15" ht="15">
      <c r="A334" t="str">
        <f>"0231917559"</f>
        <v>0231917559</v>
      </c>
      <c r="B334" t="s">
        <v>130</v>
      </c>
      <c r="C334" t="str">
        <f t="shared" si="5"/>
        <v>14/01/01</v>
      </c>
      <c r="D334" t="s">
        <v>161</v>
      </c>
      <c r="E334">
        <v>22.98</v>
      </c>
      <c r="F334">
        <v>24.7</v>
      </c>
      <c r="G334">
        <v>0</v>
      </c>
      <c r="H334">
        <v>265.2</v>
      </c>
      <c r="I334">
        <v>0</v>
      </c>
      <c r="J334">
        <v>0</v>
      </c>
      <c r="K334">
        <v>0</v>
      </c>
      <c r="L334">
        <v>0</v>
      </c>
      <c r="M334">
        <v>23.04</v>
      </c>
      <c r="N334">
        <v>20.57</v>
      </c>
      <c r="O334">
        <v>205.63</v>
      </c>
    </row>
    <row r="335" spans="1:15" ht="15">
      <c r="A335" t="str">
        <f>"0341652059"</f>
        <v>0341652059</v>
      </c>
      <c r="B335" t="s">
        <v>155</v>
      </c>
      <c r="C335" t="str">
        <f t="shared" si="5"/>
        <v>14/01/01</v>
      </c>
      <c r="D335" t="s">
        <v>161</v>
      </c>
      <c r="E335">
        <v>28.16</v>
      </c>
      <c r="F335">
        <v>28.44</v>
      </c>
      <c r="G335">
        <v>33.85</v>
      </c>
      <c r="H335">
        <v>302.99</v>
      </c>
      <c r="I335">
        <v>34.9</v>
      </c>
      <c r="J335">
        <v>33.6</v>
      </c>
      <c r="K335">
        <v>152.16</v>
      </c>
      <c r="L335">
        <v>152.16</v>
      </c>
      <c r="M335">
        <v>29.78</v>
      </c>
      <c r="N335">
        <v>30.75</v>
      </c>
      <c r="O335">
        <v>338.61</v>
      </c>
    </row>
    <row r="336" spans="1:15" ht="15">
      <c r="A336" t="str">
        <f>"0108728759"</f>
        <v>0108728759</v>
      </c>
      <c r="B336" t="s">
        <v>61</v>
      </c>
      <c r="C336" t="str">
        <f t="shared" si="5"/>
        <v>14/01/01</v>
      </c>
      <c r="D336" t="s">
        <v>161</v>
      </c>
      <c r="E336">
        <v>21.17</v>
      </c>
      <c r="F336">
        <v>21.33</v>
      </c>
      <c r="G336">
        <v>25.92</v>
      </c>
      <c r="H336">
        <v>240.8</v>
      </c>
      <c r="I336">
        <v>27.49</v>
      </c>
      <c r="J336">
        <v>25.7</v>
      </c>
      <c r="K336">
        <v>101.68</v>
      </c>
      <c r="L336">
        <v>0</v>
      </c>
      <c r="M336">
        <v>20.66</v>
      </c>
      <c r="N336">
        <v>21.23</v>
      </c>
      <c r="O336">
        <v>249.29</v>
      </c>
    </row>
    <row r="337" spans="1:15" ht="15">
      <c r="A337" t="str">
        <f>"0054668559"</f>
        <v>0054668559</v>
      </c>
      <c r="B337" t="s">
        <v>10</v>
      </c>
      <c r="C337" t="str">
        <f t="shared" si="5"/>
        <v>14/01/01</v>
      </c>
      <c r="D337" t="s">
        <v>161</v>
      </c>
      <c r="E337">
        <v>20.05</v>
      </c>
      <c r="F337">
        <v>19.85</v>
      </c>
      <c r="G337">
        <v>20.28</v>
      </c>
      <c r="H337">
        <v>225.49</v>
      </c>
      <c r="I337">
        <v>26.83</v>
      </c>
      <c r="J337">
        <v>24.15</v>
      </c>
      <c r="K337">
        <v>88.3</v>
      </c>
      <c r="L337">
        <v>88.3</v>
      </c>
      <c r="M337">
        <v>20.28</v>
      </c>
      <c r="N337">
        <v>23.22</v>
      </c>
      <c r="O337">
        <v>257.7</v>
      </c>
    </row>
    <row r="338" spans="1:15" ht="15">
      <c r="A338" t="str">
        <f>"0166341459"</f>
        <v>0166341459</v>
      </c>
      <c r="B338" t="s">
        <v>88</v>
      </c>
      <c r="C338" t="str">
        <f t="shared" si="5"/>
        <v>14/01/01</v>
      </c>
      <c r="D338" t="s">
        <v>161</v>
      </c>
      <c r="E338">
        <v>23.73</v>
      </c>
      <c r="F338">
        <v>24.53</v>
      </c>
      <c r="G338">
        <v>26.49</v>
      </c>
      <c r="H338">
        <v>283.56</v>
      </c>
      <c r="I338">
        <v>30.24</v>
      </c>
      <c r="J338">
        <v>31.23</v>
      </c>
      <c r="K338">
        <v>0</v>
      </c>
      <c r="L338">
        <v>0</v>
      </c>
      <c r="M338">
        <v>23.78</v>
      </c>
      <c r="N338">
        <v>24.88</v>
      </c>
      <c r="O338">
        <v>282.45</v>
      </c>
    </row>
    <row r="339" spans="1:15" ht="15">
      <c r="A339" t="str">
        <f>"0172952459"</f>
        <v>0172952459</v>
      </c>
      <c r="B339" t="s">
        <v>97</v>
      </c>
      <c r="C339" t="str">
        <f t="shared" si="5"/>
        <v>14/01/01</v>
      </c>
      <c r="D339" t="s">
        <v>161</v>
      </c>
      <c r="E339">
        <v>18.2</v>
      </c>
      <c r="F339">
        <v>18.01</v>
      </c>
      <c r="G339">
        <v>21.5</v>
      </c>
      <c r="H339">
        <v>234.79</v>
      </c>
      <c r="I339">
        <v>21.5</v>
      </c>
      <c r="J339">
        <v>21.5</v>
      </c>
      <c r="K339">
        <v>88.29</v>
      </c>
      <c r="L339">
        <v>0</v>
      </c>
      <c r="M339">
        <v>19.72</v>
      </c>
      <c r="N339">
        <v>20.27</v>
      </c>
      <c r="O339">
        <v>240.25</v>
      </c>
    </row>
    <row r="340" spans="1:15" ht="15">
      <c r="A340" t="str">
        <f>"0098972659"</f>
        <v>0098972659</v>
      </c>
      <c r="B340" t="s">
        <v>6</v>
      </c>
      <c r="C340" t="str">
        <f t="shared" si="5"/>
        <v>14/01/01</v>
      </c>
      <c r="D340" t="s">
        <v>161</v>
      </c>
      <c r="E340">
        <v>18.42</v>
      </c>
      <c r="F340">
        <v>18.17</v>
      </c>
      <c r="G340">
        <v>24.19</v>
      </c>
      <c r="H340">
        <v>213.07</v>
      </c>
      <c r="I340">
        <v>26.47</v>
      </c>
      <c r="J340">
        <v>28.36</v>
      </c>
      <c r="K340">
        <v>110.03</v>
      </c>
      <c r="L340">
        <v>151.16</v>
      </c>
      <c r="M340">
        <v>19.21</v>
      </c>
      <c r="N340">
        <v>20.04</v>
      </c>
      <c r="O340">
        <v>233.67</v>
      </c>
    </row>
    <row r="341" spans="1:15" ht="15">
      <c r="A341" t="str">
        <f>"0108549659"</f>
        <v>0108549659</v>
      </c>
      <c r="B341" t="s">
        <v>60</v>
      </c>
      <c r="C341" t="str">
        <f t="shared" si="5"/>
        <v>14/01/01</v>
      </c>
      <c r="D341" t="s">
        <v>161</v>
      </c>
      <c r="E341">
        <v>25.33</v>
      </c>
      <c r="F341">
        <v>21.22</v>
      </c>
      <c r="G341">
        <v>33.49</v>
      </c>
      <c r="H341">
        <v>275.81</v>
      </c>
      <c r="I341">
        <v>26.32</v>
      </c>
      <c r="J341">
        <v>28.34</v>
      </c>
      <c r="K341">
        <v>144.87</v>
      </c>
      <c r="L341">
        <v>151.16</v>
      </c>
      <c r="M341">
        <v>20.3</v>
      </c>
      <c r="N341">
        <v>24.82</v>
      </c>
      <c r="O341">
        <v>248.72</v>
      </c>
    </row>
    <row r="342" spans="1:15" ht="15">
      <c r="A342" t="str">
        <f>"0035491259"</f>
        <v>0035491259</v>
      </c>
      <c r="B342" t="s">
        <v>7</v>
      </c>
      <c r="C342" t="str">
        <f t="shared" si="5"/>
        <v>14/01/01</v>
      </c>
      <c r="D342" t="s">
        <v>161</v>
      </c>
      <c r="E342">
        <v>22.91</v>
      </c>
      <c r="F342">
        <v>22.49</v>
      </c>
      <c r="G342">
        <v>28.01</v>
      </c>
      <c r="H342">
        <v>267.57</v>
      </c>
      <c r="I342">
        <v>35.25</v>
      </c>
      <c r="J342">
        <v>27.56</v>
      </c>
      <c r="K342">
        <v>165.26</v>
      </c>
      <c r="L342">
        <v>15.38</v>
      </c>
      <c r="M342">
        <v>20.18</v>
      </c>
      <c r="N342">
        <v>21.05</v>
      </c>
      <c r="O342">
        <v>191.94</v>
      </c>
    </row>
    <row r="343" spans="1:15" ht="15">
      <c r="A343" t="str">
        <f>"0078581959"</f>
        <v>0078581959</v>
      </c>
      <c r="B343" t="s">
        <v>23</v>
      </c>
      <c r="C343" t="str">
        <f t="shared" si="5"/>
        <v>14/01/01</v>
      </c>
      <c r="D343" t="s">
        <v>161</v>
      </c>
      <c r="E343">
        <v>22.28</v>
      </c>
      <c r="F343">
        <v>23.86</v>
      </c>
      <c r="G343">
        <v>24.96</v>
      </c>
      <c r="H343">
        <v>257.16</v>
      </c>
      <c r="I343">
        <v>24.55</v>
      </c>
      <c r="J343">
        <v>23.69</v>
      </c>
      <c r="K343">
        <v>0</v>
      </c>
      <c r="L343">
        <v>0</v>
      </c>
      <c r="M343">
        <v>19.76</v>
      </c>
      <c r="N343">
        <v>20.8</v>
      </c>
      <c r="O343">
        <v>236.52</v>
      </c>
    </row>
    <row r="344" spans="1:15" ht="15">
      <c r="A344" t="str">
        <f>"0342700759"</f>
        <v>0342700759</v>
      </c>
      <c r="B344" t="s">
        <v>156</v>
      </c>
      <c r="C344" t="str">
        <f t="shared" si="5"/>
        <v>14/01/01</v>
      </c>
      <c r="D344" t="s">
        <v>161</v>
      </c>
      <c r="E344">
        <v>20.71</v>
      </c>
      <c r="F344">
        <v>22.04</v>
      </c>
      <c r="G344">
        <v>27.62</v>
      </c>
      <c r="H344">
        <v>230.19</v>
      </c>
      <c r="I344">
        <v>0</v>
      </c>
      <c r="J344">
        <v>0</v>
      </c>
      <c r="K344">
        <v>88.42</v>
      </c>
      <c r="L344">
        <v>88.79</v>
      </c>
      <c r="M344">
        <v>0</v>
      </c>
      <c r="N344">
        <v>0</v>
      </c>
      <c r="O344">
        <v>0</v>
      </c>
    </row>
    <row r="345" spans="1:15" ht="15">
      <c r="A345" t="str">
        <f>"0146034259"</f>
        <v>0146034259</v>
      </c>
      <c r="B345" t="s">
        <v>79</v>
      </c>
      <c r="C345" t="str">
        <f t="shared" si="5"/>
        <v>14/01/01</v>
      </c>
      <c r="D345" t="s">
        <v>161</v>
      </c>
      <c r="E345">
        <v>0</v>
      </c>
      <c r="F345">
        <v>18.9</v>
      </c>
      <c r="G345">
        <v>0</v>
      </c>
      <c r="H345">
        <v>214.19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</row>
    <row r="346" spans="1:15" ht="15">
      <c r="A346" t="str">
        <f>"0335151759"</f>
        <v>0335151759</v>
      </c>
      <c r="B346" t="s">
        <v>154</v>
      </c>
      <c r="C346" t="str">
        <f t="shared" si="5"/>
        <v>14/01/01</v>
      </c>
      <c r="D346" t="s">
        <v>161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147.7</v>
      </c>
      <c r="L346">
        <v>147.7</v>
      </c>
      <c r="M346">
        <v>0</v>
      </c>
      <c r="N346">
        <v>0</v>
      </c>
      <c r="O346">
        <v>0</v>
      </c>
    </row>
    <row r="347" spans="1:15" ht="15">
      <c r="A347" t="str">
        <f>"0166045759"</f>
        <v>0166045759</v>
      </c>
      <c r="B347" t="s">
        <v>87</v>
      </c>
      <c r="C347" t="str">
        <f t="shared" si="5"/>
        <v>14/01/01</v>
      </c>
      <c r="D347" t="s">
        <v>161</v>
      </c>
      <c r="E347">
        <v>15.77</v>
      </c>
      <c r="F347">
        <v>18.38</v>
      </c>
      <c r="G347">
        <v>21.01</v>
      </c>
      <c r="H347">
        <v>259.77</v>
      </c>
      <c r="I347">
        <v>0</v>
      </c>
      <c r="J347">
        <v>20.18</v>
      </c>
      <c r="K347">
        <v>0</v>
      </c>
      <c r="L347">
        <v>82.65</v>
      </c>
      <c r="M347">
        <v>0</v>
      </c>
      <c r="N347">
        <v>0</v>
      </c>
      <c r="O347">
        <v>0</v>
      </c>
    </row>
    <row r="348" spans="1:15" ht="15">
      <c r="A348" t="str">
        <f>"0145838259"</f>
        <v>0145838259</v>
      </c>
      <c r="B348" t="s">
        <v>78</v>
      </c>
      <c r="C348" t="str">
        <f t="shared" si="5"/>
        <v>14/01/01</v>
      </c>
      <c r="D348" t="s">
        <v>161</v>
      </c>
      <c r="E348">
        <v>19.96</v>
      </c>
      <c r="F348">
        <v>20.24</v>
      </c>
      <c r="G348">
        <v>24.96</v>
      </c>
      <c r="H348">
        <v>285.38</v>
      </c>
      <c r="I348">
        <v>0</v>
      </c>
      <c r="J348">
        <v>0</v>
      </c>
      <c r="K348">
        <v>0</v>
      </c>
      <c r="L348">
        <v>0</v>
      </c>
      <c r="M348">
        <v>20.61</v>
      </c>
      <c r="N348">
        <v>0</v>
      </c>
      <c r="O348">
        <v>0</v>
      </c>
    </row>
    <row r="349" spans="1:15" ht="15">
      <c r="A349" t="str">
        <f>"0194568860"</f>
        <v>0194568860</v>
      </c>
      <c r="B349" t="s">
        <v>116</v>
      </c>
      <c r="C349" t="str">
        <f t="shared" si="5"/>
        <v>14/01/01</v>
      </c>
      <c r="D349" t="s">
        <v>199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15.04</v>
      </c>
      <c r="N349">
        <v>19.18</v>
      </c>
      <c r="O349">
        <v>0</v>
      </c>
    </row>
    <row r="350" spans="1:15" ht="15">
      <c r="A350" t="str">
        <f>"0090452760"</f>
        <v>0090452760</v>
      </c>
      <c r="B350" t="s">
        <v>35</v>
      </c>
      <c r="C350" t="str">
        <f t="shared" si="5"/>
        <v>14/01/01</v>
      </c>
      <c r="D350" t="s">
        <v>199</v>
      </c>
      <c r="E350">
        <v>23.36</v>
      </c>
      <c r="F350">
        <v>23.78</v>
      </c>
      <c r="G350">
        <v>0</v>
      </c>
      <c r="H350">
        <v>0</v>
      </c>
      <c r="I350">
        <v>0</v>
      </c>
      <c r="J350">
        <v>0</v>
      </c>
      <c r="K350">
        <v>82.48</v>
      </c>
      <c r="L350">
        <v>82.48</v>
      </c>
      <c r="M350">
        <v>0</v>
      </c>
      <c r="N350">
        <v>0</v>
      </c>
      <c r="O350">
        <v>0</v>
      </c>
    </row>
    <row r="351" spans="1:15" ht="15">
      <c r="A351" t="str">
        <f>"0240778960"</f>
        <v>0240778960</v>
      </c>
      <c r="B351" t="s">
        <v>134</v>
      </c>
      <c r="C351" t="str">
        <f t="shared" si="5"/>
        <v>14/01/01</v>
      </c>
      <c r="D351" t="s">
        <v>199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16.9</v>
      </c>
      <c r="N351">
        <v>0</v>
      </c>
      <c r="O351">
        <v>0</v>
      </c>
    </row>
    <row r="352" spans="1:15" ht="15">
      <c r="A352" t="str">
        <f>"0194568861"</f>
        <v>0194568861</v>
      </c>
      <c r="B352" t="s">
        <v>116</v>
      </c>
      <c r="C352" t="str">
        <f t="shared" si="5"/>
        <v>14/01/01</v>
      </c>
      <c r="D352" t="s">
        <v>214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16.09</v>
      </c>
      <c r="N352">
        <v>16.06</v>
      </c>
      <c r="O352">
        <v>0</v>
      </c>
    </row>
    <row r="353" spans="1:15" ht="15">
      <c r="A353" t="str">
        <f>"0147051161"</f>
        <v>0147051161</v>
      </c>
      <c r="B353" t="s">
        <v>81</v>
      </c>
      <c r="C353" t="str">
        <f t="shared" si="5"/>
        <v>14/01/01</v>
      </c>
      <c r="D353" t="s">
        <v>214</v>
      </c>
      <c r="E353">
        <v>25.75</v>
      </c>
      <c r="F353">
        <v>26.03</v>
      </c>
      <c r="G353">
        <v>28.93</v>
      </c>
      <c r="H353">
        <v>0</v>
      </c>
      <c r="I353">
        <v>28.23</v>
      </c>
      <c r="J353">
        <v>28.79</v>
      </c>
      <c r="K353">
        <v>119.62</v>
      </c>
      <c r="L353">
        <v>114.31</v>
      </c>
      <c r="M353">
        <v>0</v>
      </c>
      <c r="N353">
        <v>0</v>
      </c>
      <c r="O35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Casey</dc:creator>
  <cp:keywords/>
  <dc:description/>
  <cp:lastModifiedBy>Kim Fraim</cp:lastModifiedBy>
  <dcterms:created xsi:type="dcterms:W3CDTF">2014-05-05T14:46:18Z</dcterms:created>
  <dcterms:modified xsi:type="dcterms:W3CDTF">2014-05-08T15:55:42Z</dcterms:modified>
  <cp:category/>
  <cp:version/>
  <cp:contentType/>
  <cp:contentStatus/>
</cp:coreProperties>
</file>