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1355" windowHeight="5895" tabRatio="771" firstSheet="1" activeTab="1"/>
  </bookViews>
  <sheets>
    <sheet name="Flags" sheetId="1" state="hidden" r:id="rId1"/>
    <sheet name="Summary" sheetId="2" r:id="rId2"/>
    <sheet name="BN_PMPM_MM" sheetId="3" state="hidden" r:id="rId3"/>
    <sheet name="Monitoring of new adult group" sheetId="4" state="hidden" r:id="rId4"/>
    <sheet name="New adult group - member months" sheetId="5" state="hidden" r:id="rId5"/>
    <sheet name="2014 DSHP estimates" sheetId="6" state="hidden" r:id="rId6"/>
    <sheet name="Group 3" sheetId="7" state="hidden" r:id="rId7"/>
    <sheet name="all others" sheetId="8" state="hidden" r:id="rId8"/>
    <sheet name="Supplemental" sheetId="9" state="hidden" r:id="rId9"/>
  </sheets>
  <externalReferences>
    <externalReference r:id="rId12"/>
  </externalReferences>
  <definedNames>
    <definedName name="mltcflag" localSheetId="4">'[1]Flags'!$B$3</definedName>
    <definedName name="mltcflag">'Flags'!$B$3</definedName>
    <definedName name="_xlnm.Print_Area" localSheetId="6">'Group 3'!$A$1:$R$15</definedName>
    <definedName name="_xlnm.Print_Area" localSheetId="8">'Supplemental'!$A$1:$F$15</definedName>
    <definedName name="_xlnm.Print_Titles" localSheetId="4">'New adult group - member months'!$A:$A</definedName>
    <definedName name="_xlnm.Print_Titles" localSheetId="1">'Summary'!$A:$A,'Summary'!$1:$5</definedName>
  </definedNames>
  <calcPr fullCalcOnLoad="1"/>
</workbook>
</file>

<file path=xl/comments3.xml><?xml version="1.0" encoding="utf-8"?>
<comments xmlns="http://schemas.openxmlformats.org/spreadsheetml/2006/main">
  <authors>
    <author>ROBERT NELB</author>
    <author>James M DeMatteo</author>
  </authors>
  <commentList>
    <comment ref="J13" authorId="0">
      <text>
        <r>
          <rPr>
            <b/>
            <sz val="9"/>
            <rFont val="Tahoma"/>
            <family val="2"/>
          </rPr>
          <t>ROBERT NELB:</t>
        </r>
        <r>
          <rPr>
            <sz val="9"/>
            <rFont val="Tahoma"/>
            <family val="2"/>
          </rPr>
          <t xml:space="preserve">
This group transitioned to the state plan during DY 15</t>
        </r>
      </text>
    </comment>
    <comment ref="K32" authorId="0">
      <text>
        <r>
          <rPr>
            <b/>
            <sz val="9"/>
            <rFont val="Tahoma"/>
            <family val="2"/>
          </rPr>
          <t>ROBERT NELB:</t>
        </r>
        <r>
          <rPr>
            <sz val="9"/>
            <rFont val="Tahoma"/>
            <family val="2"/>
          </rPr>
          <t xml:space="preserve">
Group transitions to new adult group</t>
        </r>
      </text>
    </comment>
    <comment ref="K34" authorId="0">
      <text>
        <r>
          <rPr>
            <b/>
            <sz val="9"/>
            <rFont val="Tahoma"/>
            <family val="2"/>
          </rPr>
          <t>ROBERT NELB:</t>
        </r>
        <r>
          <rPr>
            <sz val="9"/>
            <rFont val="Tahoma"/>
            <family val="2"/>
          </rPr>
          <t xml:space="preserve">
Group transitions to orderly close out DSHP (one year delayed renewal). Upon renewal, some transition to new adult group and some transition to APTC wrap)</t>
        </r>
      </text>
    </comment>
    <comment ref="K36" authorId="0">
      <text>
        <r>
          <rPr>
            <b/>
            <sz val="9"/>
            <rFont val="Tahoma"/>
            <family val="2"/>
          </rPr>
          <t>ROBERT NELB:</t>
        </r>
        <r>
          <rPr>
            <sz val="9"/>
            <rFont val="Tahoma"/>
            <family val="2"/>
          </rPr>
          <t xml:space="preserve">
Group transitions to new adult group</t>
        </r>
      </text>
    </comment>
    <comment ref="L73" authorId="1">
      <text>
        <r>
          <rPr>
            <b/>
            <sz val="9"/>
            <rFont val="Tahoma"/>
            <family val="2"/>
          </rPr>
          <t>James M DeMatteo:</t>
        </r>
        <r>
          <rPr>
            <sz val="9"/>
            <rFont val="Tahoma"/>
            <family val="2"/>
          </rPr>
          <t xml:space="preserve">
Netted from here as placeholder until 3,153 members can be traced back to actual F-SHRP DG.</t>
        </r>
      </text>
    </comment>
  </commentList>
</comments>
</file>

<file path=xl/comments4.xml><?xml version="1.0" encoding="utf-8"?>
<comments xmlns="http://schemas.openxmlformats.org/spreadsheetml/2006/main">
  <authors>
    <author>ROBERT NELB</author>
    <author>James M DeMatteo</author>
  </authors>
  <commentList>
    <comment ref="B7" authorId="0">
      <text>
        <r>
          <rPr>
            <b/>
            <sz val="9"/>
            <rFont val="Tahoma"/>
            <family val="2"/>
          </rPr>
          <t>ROBERT NELB:</t>
        </r>
        <r>
          <rPr>
            <sz val="9"/>
            <rFont val="Tahoma"/>
            <family val="2"/>
          </rPr>
          <t xml:space="preserve">
Based on an average between the SN adults and FH Plus Adults without children MEGs (Being confirmed by state)</t>
        </r>
      </text>
    </comment>
    <comment ref="G7" authorId="1">
      <text>
        <r>
          <rPr>
            <b/>
            <sz val="9"/>
            <rFont val="Tahoma"/>
            <family val="2"/>
          </rPr>
          <t>James M DeMatteo:</t>
        </r>
        <r>
          <rPr>
            <sz val="9"/>
            <rFont val="Tahoma"/>
            <family val="2"/>
          </rPr>
          <t xml:space="preserve">
Each DY17-21 PMPM - assumes this will be trended consistent with current wow pmpm's; used TANF adult trend of 6.4%.</t>
        </r>
      </text>
    </comment>
  </commentList>
</comments>
</file>

<file path=xl/comments5.xml><?xml version="1.0" encoding="utf-8"?>
<comments xmlns="http://schemas.openxmlformats.org/spreadsheetml/2006/main">
  <authors>
    <author>ROBERT NELB</author>
  </authors>
  <commentList>
    <comment ref="B4" authorId="0">
      <text>
        <r>
          <rPr>
            <b/>
            <sz val="9"/>
            <rFont val="Tahoma"/>
            <family val="2"/>
          </rPr>
          <t>ROBERT NELB:</t>
        </r>
        <r>
          <rPr>
            <sz val="9"/>
            <rFont val="Tahoma"/>
            <family val="2"/>
          </rPr>
          <t xml:space="preserve">
Equals DY 16a (Q1) member months for existing SN adults divided by 3</t>
        </r>
      </text>
    </comment>
    <comment ref="B5" authorId="0">
      <text>
        <r>
          <rPr>
            <b/>
            <sz val="9"/>
            <rFont val="Tahoma"/>
            <family val="2"/>
          </rPr>
          <t>ROBERT NELB:</t>
        </r>
        <r>
          <rPr>
            <sz val="9"/>
            <rFont val="Tahoma"/>
            <family val="2"/>
          </rPr>
          <t xml:space="preserve">
Updated numbers provided by the state</t>
        </r>
      </text>
    </comment>
    <comment ref="B6" authorId="0">
      <text>
        <r>
          <rPr>
            <b/>
            <sz val="9"/>
            <rFont val="Tahoma"/>
            <family val="2"/>
          </rPr>
          <t>ROBERT NELB:</t>
        </r>
        <r>
          <rPr>
            <sz val="9"/>
            <rFont val="Tahoma"/>
            <family val="2"/>
          </rPr>
          <t xml:space="preserve">
Based on 2014 DSHP estimates and estimate that 77,000 of current FH plus adults move to marketplace</t>
        </r>
      </text>
    </comment>
  </commentList>
</comments>
</file>

<file path=xl/sharedStrings.xml><?xml version="1.0" encoding="utf-8"?>
<sst xmlns="http://schemas.openxmlformats.org/spreadsheetml/2006/main" count="520" uniqueCount="217">
  <si>
    <t>New York State Partnership Plan</t>
  </si>
  <si>
    <t>Budget Neutrality Cap
(Without Waiver)</t>
  </si>
  <si>
    <t>DY 1 - 11
(10/1/97 - 9/30/09)
Projected</t>
  </si>
  <si>
    <t xml:space="preserve">W/O Waiver Total </t>
  </si>
  <si>
    <t>Budget Neutrality Cap
(With Waiver)</t>
  </si>
  <si>
    <t>With Waiver Total</t>
  </si>
  <si>
    <t>Expenditures (Over)/Under Cap</t>
  </si>
  <si>
    <t>Demonstration Group 6 - FHP Adults w/Children</t>
  </si>
  <si>
    <t>Demonstration Group 5 - Safety Net Adults</t>
  </si>
  <si>
    <t>WITHOUT WAIVER PMPMS</t>
  </si>
  <si>
    <t>TANF Kids</t>
  </si>
  <si>
    <t>TANF Adults</t>
  </si>
  <si>
    <t>FHPlus Adults with Children</t>
  </si>
  <si>
    <t>WITH WAIVER PMPMS</t>
  </si>
  <si>
    <t>SN - Adults</t>
  </si>
  <si>
    <t>FHPlus Adults without Children</t>
  </si>
  <si>
    <t>MEMBER MONTHS</t>
  </si>
  <si>
    <t>SN Adults</t>
  </si>
  <si>
    <t>Demonstration Group 8 - Family Planning Expansion</t>
  </si>
  <si>
    <t>PMPM's and Member Months</t>
  </si>
  <si>
    <t>DY 14
 (10/1/11-9/30/12)
  Projected</t>
  </si>
  <si>
    <t>Recov &amp; Rebates</t>
  </si>
  <si>
    <t>HR Conversions</t>
  </si>
  <si>
    <t>HR Conversions transferred to TANF</t>
  </si>
  <si>
    <t>HR Conversions transferred to SSI</t>
  </si>
  <si>
    <t>Non DSH UPL Program Expenditures - 100% of UPL</t>
  </si>
  <si>
    <t>Non DSH UPL Program Expenditures - 150% of UPL</t>
  </si>
  <si>
    <t>Non DSH UPL Program Expenditures - 175% of UPL</t>
  </si>
  <si>
    <t>Hospital Restoration  / Transportation</t>
  </si>
  <si>
    <t>Others, including Clinic, Family Planning and Lombari</t>
  </si>
  <si>
    <t>Total</t>
  </si>
  <si>
    <t>DY 12
 (10/01/09 - 09/30/10) 
Projected</t>
  </si>
  <si>
    <t>DY 13
 (10/01/10 - 09/30/11) 
Projected</t>
  </si>
  <si>
    <t>DY 14
 (10/01/11 - 09/30/12) 
Projected</t>
  </si>
  <si>
    <t>Supplemental Schedule</t>
  </si>
  <si>
    <t>DY14
 2011-2012</t>
  </si>
  <si>
    <t>Member Months</t>
  </si>
  <si>
    <t>10/09-9/30/10</t>
  </si>
  <si>
    <t>10/10-9/30/11</t>
  </si>
  <si>
    <t>10/11-9/30/12</t>
  </si>
  <si>
    <t>TOTAL ADDITIONAL EXPENSE</t>
  </si>
  <si>
    <t>LTHHCP Spousal</t>
  </si>
  <si>
    <t>Participants</t>
  </si>
  <si>
    <t>Gross Savings (Total Annual Contributions less Recipient Retained amount)</t>
  </si>
  <si>
    <t>3 year additional expense</t>
  </si>
  <si>
    <t>Monthly amount</t>
  </si>
  <si>
    <t>NHTD Spousal</t>
  </si>
  <si>
    <t>TBI Spousal</t>
  </si>
  <si>
    <t>TOTAL SPOUSAL ALL 3 PROGRAMS</t>
  </si>
  <si>
    <t>N/A</t>
  </si>
  <si>
    <t>Demonstration Group 9 - Home and Community Based Expansion (HCBS)</t>
  </si>
  <si>
    <t>Demonstration Group 6 - FHP Adults w/Children up tp 150%</t>
  </si>
  <si>
    <t>Demonstration Group 7 - FHP Adults without Children up to 100%</t>
  </si>
  <si>
    <t>DY15
 2012-2013</t>
  </si>
  <si>
    <t>10/12-9/30/13</t>
  </si>
  <si>
    <t>DY 15
 (10/1/12-9/30/13)
  Projected</t>
  </si>
  <si>
    <t>Demonstration Group 6A - FHP Adults w/Children @ 160%</t>
  </si>
  <si>
    <t>Demonstration Group 7A - FHP Adults without Children @ 160%</t>
  </si>
  <si>
    <t>Family Planning Expansion</t>
  </si>
  <si>
    <t>Demonstration Population 1: State Indigent Care Pool Direct Expenditures (ICP-Direct)</t>
  </si>
  <si>
    <t xml:space="preserve">Demonstration Population 2: Designated State Health Programs to Support Clinic Uncompensated Care Funding (ICP - DSHP) </t>
  </si>
  <si>
    <t xml:space="preserve">Demonstration Population 3: Designated State Health Programs to Support Medical Home Demonstration (DSHP - HMH Demo) </t>
  </si>
  <si>
    <t>Demonstration Population 4: Designated State Health Programs to Support Potentially Preventable Readmission Demonstration (DSHP - PPR Demo)</t>
  </si>
  <si>
    <t>DY12
 2009-2010</t>
  </si>
  <si>
    <t>DY 12
 (10/1/09-9/30/10)
  Actual</t>
  </si>
  <si>
    <t>DY 13B
 (4/1/11-9/30/11)
  Projected</t>
  </si>
  <si>
    <t>DY16
 2013-2014 (1 Qtr/2 Qtr)</t>
  </si>
  <si>
    <t>Duals 18-64</t>
  </si>
  <si>
    <t>Duals 65+</t>
  </si>
  <si>
    <t>mltcflag</t>
  </si>
  <si>
    <t>1 = on 0 = off</t>
  </si>
  <si>
    <t>Demonstration Population 5: Designated State Health Programs (Various)</t>
  </si>
  <si>
    <t>APPENDIX IV(a)</t>
  </si>
  <si>
    <t>Demonstration Group 10 - MLTC Adult Age 18-64 Duals</t>
  </si>
  <si>
    <t>Demonstration Group 11 - MLTC age 65+ Duals</t>
  </si>
  <si>
    <t>DY 1 - DY 16</t>
  </si>
  <si>
    <t>ATTACHMENT 4</t>
  </si>
  <si>
    <t>DY 13A
 10/1/10-3/31/11)
 Actual</t>
  </si>
  <si>
    <t>DY 1 - 8
(10/1/97 - 9/30/06)
Projected</t>
  </si>
  <si>
    <t>DY 9
 (10/1/06-9/30/07)
  Actual</t>
  </si>
  <si>
    <t>DY 10
 (10/1/07-9/30/08)
  Actual</t>
  </si>
  <si>
    <t>DY 11
 (10/1/08-9/30/09)
  Actual</t>
  </si>
  <si>
    <t>DY11
 2008-2009</t>
  </si>
  <si>
    <t>DY10
 2007-2008</t>
  </si>
  <si>
    <t>DY09
 2006-2007</t>
  </si>
  <si>
    <t xml:space="preserve">     TANF Kids FSHRP</t>
  </si>
  <si>
    <t xml:space="preserve">     TANF Adults FSHRP</t>
  </si>
  <si>
    <t>Total for 1115</t>
  </si>
  <si>
    <t>TANF Children</t>
  </si>
  <si>
    <t>Monthly Eligibles</t>
  </si>
  <si>
    <t>Annual Eligibles</t>
  </si>
  <si>
    <t xml:space="preserve">  ** DY16 TANF for 6 months all others 3 months</t>
  </si>
  <si>
    <t xml:space="preserve">    * Highlighted cells are to be input</t>
  </si>
  <si>
    <t>DY 16 Eligibles</t>
  </si>
  <si>
    <t>n/a</t>
  </si>
  <si>
    <t>DY 16A
 (10/1/13-12/31/13)
  Projected</t>
  </si>
  <si>
    <t>DY 16B
 (1/1/14-3/31/14)
  Projected</t>
  </si>
  <si>
    <t>DY 16C 
(4/1/14 - 12/31/14)
  Projected</t>
  </si>
  <si>
    <t>DSHP: Orderly Close out of Demo Group 6</t>
  </si>
  <si>
    <t>DSHP: APTC Wrap</t>
  </si>
  <si>
    <t>Projected 1115 Waiver Budget Neutrality Impact Through December 2014</t>
  </si>
  <si>
    <t>DSHP For DSRIP</t>
  </si>
  <si>
    <t>DSRIP</t>
  </si>
  <si>
    <t>IAAF</t>
  </si>
  <si>
    <t>Monitoring of New Adult Group Spending</t>
  </si>
  <si>
    <t>Total Computable</t>
  </si>
  <si>
    <t>WITHOUT WAIVER (WOW)</t>
  </si>
  <si>
    <t>PMPM</t>
  </si>
  <si>
    <t>Member months</t>
  </si>
  <si>
    <t>Without Waiver Expenditures</t>
  </si>
  <si>
    <t>WITH WAIVER (WW)</t>
  </si>
  <si>
    <t>PMPM</t>
  </si>
  <si>
    <t>Projected With Waiver Expenditures</t>
  </si>
  <si>
    <t>DIFFERENCE BETWEEN WOW AND WW</t>
  </si>
  <si>
    <t>New Adult Member Month Workbook</t>
  </si>
  <si>
    <t>Month by month breakdown</t>
  </si>
  <si>
    <t>Assumptions</t>
  </si>
  <si>
    <t>Current SN adults</t>
  </si>
  <si>
    <t>All administratively transferred 1/1/2014</t>
  </si>
  <si>
    <t>Current FH Plus Childless Adults</t>
  </si>
  <si>
    <t>Current FH Plus Adults with children</t>
  </si>
  <si>
    <t>Transitioned to new adult group at redet, beginning 4/1/14</t>
  </si>
  <si>
    <t>Current FSHRP Adults</t>
  </si>
  <si>
    <t>New Enrollment (Childless adults 100-133)</t>
  </si>
  <si>
    <t>Added constantly each month throughout 2014</t>
  </si>
  <si>
    <t>Total New Adult Group</t>
  </si>
  <si>
    <t>DSHP 6</t>
  </si>
  <si>
    <t>FHP with Children</t>
  </si>
  <si>
    <t>Eligibles</t>
  </si>
  <si>
    <t>PMPMs</t>
  </si>
  <si>
    <t>Total Expenditures</t>
  </si>
  <si>
    <t>Projected January 2014</t>
  </si>
  <si>
    <t>Estimated monthly</t>
  </si>
  <si>
    <t>January 2014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</si>
  <si>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</si>
  <si>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</si>
  <si>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</si>
  <si>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</si>
  <si>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</si>
  <si>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</si>
  <si>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</si>
  <si>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</si>
  <si>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</si>
  <si>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</si>
  <si>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</si>
  <si>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2015</t>
  </si>
  <si>
    <t>DSHP 7</t>
  </si>
  <si>
    <t>APTC</t>
  </si>
  <si>
    <t>DY 16C (4/1/14 - 12/31/14) subtotal</t>
  </si>
  <si>
    <t>DY 16B (1/1/14 - 3/31/14) subtotal</t>
  </si>
  <si>
    <t xml:space="preserve">DY 16A - Q1 (10/1/13-12/31/13)
 </t>
  </si>
  <si>
    <t xml:space="preserve">DY 16B - Q2 (1/1/14-3/31/14)
 </t>
  </si>
  <si>
    <t xml:space="preserve">DY 16C - Q3 (4/1/14-12/31/14)
 </t>
  </si>
  <si>
    <t>DY13A
 2010-2011 (2 Qtrs</t>
  </si>
  <si>
    <t>DY13B
 2010-2011 (2 Qtrs</t>
  </si>
  <si>
    <t>Demonstration Group 3 – Disabled Adults and Children 0-64 voluntarily enrolled in managed care in those counties participating in the Partnership Plan as of October 1, 2006.</t>
  </si>
  <si>
    <t>Demonstration Group 4 – Disabled Adults and Children 0-64 required to enroll in managed care in those counties participating in the Partnership Plan as of October 1, 2006.</t>
  </si>
  <si>
    <t>Demonstration Group 5 – Disabled Adults and Children 65+ voluntarily enrolled in managed care in those counties participating in the Partnership Plan as of October 1, 2006.</t>
  </si>
  <si>
    <t>Demonstration Group 6 – Disabled Adults and Children 65+ required to enroll in managed care in those counties participating in the Partnership Plan as of October 1, 2006.</t>
  </si>
  <si>
    <t>Demonstration Group 7 – Non Duals 18-64</t>
  </si>
  <si>
    <t>Demonstration Group 8 – Non Duals 65+</t>
  </si>
  <si>
    <t>*</t>
  </si>
  <si>
    <t>F-SHRP</t>
  </si>
  <si>
    <t>DY16B F-SHRP figures shown for informational purposes only (matches latest quarterly F-SHRP BN submission)</t>
  </si>
  <si>
    <t>*  Current F-SHRP Adults transferred to Adult Group netted out of F-SHRP Demonstration Group 3</t>
  </si>
  <si>
    <t>Extension Period
(10/1/06 - 12/31/14)
Projected</t>
  </si>
  <si>
    <t>DY 17 
(1/1/15 - 12/31/15)
  Projected</t>
  </si>
  <si>
    <t>DY 18 
(1/1/16 - 12/31/16)
  Projected</t>
  </si>
  <si>
    <t>DY 19 
(1/1/17 - 12/31/17)
  Projected</t>
  </si>
  <si>
    <t>DY 20 
(1/1/18 - 12/31/18)
  Projected</t>
  </si>
  <si>
    <t>DY 21 
(1/1/19 - 12/31/19)
  Projected</t>
  </si>
  <si>
    <t>Current Extension Period
(1/1/15 - 12/31/19)
Projected</t>
  </si>
  <si>
    <t>DY 1 - DY 21</t>
  </si>
  <si>
    <t>Extension Application Through 12/31/2019</t>
  </si>
  <si>
    <t>DY 17 
(1/1/15 - 12/31/15)</t>
  </si>
  <si>
    <t>DY 18 
(1/1/16 - 12/31/16)</t>
  </si>
  <si>
    <t>DY 19 
(1/1/17 - 12/31/17)</t>
  </si>
  <si>
    <t>DY 20 
(1/1/18 - 12/31/18)</t>
  </si>
  <si>
    <t>DY 21 
(1/1/19 - 12/31/19)</t>
  </si>
  <si>
    <t>DY 16 b and c (1/1/2014 - 12/31/2014)</t>
  </si>
  <si>
    <t>Total DY 16bc (CY 2014) Member months</t>
  </si>
  <si>
    <t>Total DY 17 (CY 2015) Member months</t>
  </si>
  <si>
    <t>Total DY 18 (CY 2016) Member months</t>
  </si>
  <si>
    <t>Total DY 19 (CY 2017) Member months</t>
  </si>
  <si>
    <t>Total DY 20 (CY 2018) Member months</t>
  </si>
  <si>
    <t>Total DY 21 (CY 2019) Member months</t>
  </si>
  <si>
    <t>DY13B
 2010-2011 (2 Qtrs)</t>
  </si>
  <si>
    <t>DY13A
 2010-2011 (2 Qtrs)</t>
  </si>
  <si>
    <t>Projected January 2015</t>
  </si>
  <si>
    <t>January 2016</t>
  </si>
  <si>
    <t>Projected January 2016</t>
  </si>
  <si>
    <t>January 2017</t>
  </si>
  <si>
    <t>Projected January 2017</t>
  </si>
  <si>
    <t>January 2018</t>
  </si>
  <si>
    <t>Projected January 2018</t>
  </si>
  <si>
    <t>Projected January 2019</t>
  </si>
  <si>
    <t>January 2019</t>
  </si>
  <si>
    <t>January 2020</t>
  </si>
  <si>
    <t>DSHP DD</t>
  </si>
  <si>
    <t>Designated State Health Programs (New F-SHRP)</t>
  </si>
  <si>
    <t>Designated State Health Programs (Existing F-SHRP)</t>
  </si>
  <si>
    <t>HARPS "HCBS Services"</t>
  </si>
  <si>
    <t>Demostration Group 1 (Includes FSHRP)- TANF Children under age 1 through 20</t>
  </si>
  <si>
    <t>Demonstration Group 2 (Includes FSHRP) - TANF Adults 21-64</t>
  </si>
  <si>
    <t>Demonstration Group 3 (FSHRP)– Disabled Adults and Children 0-64 voluntarily enrolled in managed care in those counties participating in the Partnership Plan as of October 1, 2006.</t>
  </si>
  <si>
    <t>Demonstration Group 4 (FSHRP)– Disabled Adults and Children 0-64 required to enroll in managed care in those counties participating in the Partnership Plan as of October 1, 2006.</t>
  </si>
  <si>
    <t>Demonstration Group 6 (FSHRP)– Disabled Adults and Children 65+ required to enroll in managed care in those counties participating in the Partnership Plan as of October 1, 2006.</t>
  </si>
  <si>
    <t>Demonstration Group 5 (FSHRP)– Disabled Adults and Children 65+ voluntarily enrolled in managed care in those counties participating in the Partnership Plan as of October 1, 2006.</t>
  </si>
  <si>
    <t>Demonstration Group 7 (FSHRP)– Non Duals 18-64</t>
  </si>
  <si>
    <t>Demonstration Group 8(FSHRP) – Non Duals 65+</t>
  </si>
  <si>
    <t>Demonstration Group 6 (FSHRP) – Disabled Adults and Children 65+ required to enroll in managed care in those counties participating in the Partnership Plan as of October 1, 2006.</t>
  </si>
  <si>
    <t>Demonstration Group 8 (FSHRP) – Non Duals 65+</t>
  </si>
  <si>
    <t>Demostration Group 1 (Includes FSHRP) - TANF Children under age 1 through 20</t>
  </si>
  <si>
    <t xml:space="preserve">Note: * All Final 21 months of 1115 expenditures have been reported in MBES through quarter ending March 2011. </t>
  </si>
  <si>
    <t>Coverage gap</t>
  </si>
  <si>
    <t>65 Year Olds in the Adult Group</t>
  </si>
  <si>
    <t>Demonstration only services provided in MMMC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</si>
</sst>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.00"/>
    <numFmt numFmtId="166" formatCode="_(* #,##0_);_(* \(#,##0\);_(* &quot;-&quot;??_);_(@_)"/>
    <numFmt numFmtId="167" formatCode="[$$-409]#,##0"/>
    <numFmt numFmtId="168" formatCode="#,##0.0000"/>
    <numFmt numFmtId="169" formatCode="[$$-409]#,##0.0000"/>
    <numFmt numFmtId="170" formatCode="&quot;$&quot;#,##0.00"/>
    <numFmt numFmtId="171" formatCode="0.000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dashed"/>
    </border>
    <border>
      <left style="medium"/>
      <right style="medium"/>
      <top/>
      <bottom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dash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dotted"/>
      <bottom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medium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5" fontId="5" fillId="33" borderId="10" xfId="0" applyNumberFormat="1" applyFont="1" applyFill="1" applyBorder="1" applyAlignment="1">
      <alignment horizontal="center" vertical="center"/>
    </xf>
    <xf numFmtId="5" fontId="5" fillId="0" borderId="11" xfId="0" applyNumberFormat="1" applyFont="1" applyBorder="1" applyAlignment="1">
      <alignment horizontal="center" vertical="center"/>
    </xf>
    <xf numFmtId="5" fontId="5" fillId="33" borderId="12" xfId="0" applyNumberFormat="1" applyFont="1" applyFill="1" applyBorder="1" applyAlignment="1">
      <alignment horizontal="center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4" xfId="0" applyNumberFormat="1" applyFont="1" applyBorder="1" applyAlignment="1">
      <alignment horizontal="center" vertical="center"/>
    </xf>
    <xf numFmtId="5" fontId="5" fillId="33" borderId="15" xfId="0" applyNumberFormat="1" applyFont="1" applyFill="1" applyBorder="1" applyAlignment="1">
      <alignment horizontal="center" vertical="center"/>
    </xf>
    <xf numFmtId="5" fontId="2" fillId="0" borderId="16" xfId="0" applyNumberFormat="1" applyFont="1" applyBorder="1" applyAlignment="1">
      <alignment horizontal="center" vertical="center"/>
    </xf>
    <xf numFmtId="5" fontId="7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left" wrapText="1"/>
    </xf>
    <xf numFmtId="167" fontId="7" fillId="0" borderId="0" xfId="0" applyNumberFormat="1" applyFont="1" applyAlignment="1">
      <alignment horizontal="center" vertical="top"/>
    </xf>
    <xf numFmtId="43" fontId="0" fillId="0" borderId="0" xfId="43" applyFont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Continuous" vertical="center"/>
    </xf>
    <xf numFmtId="0" fontId="0" fillId="0" borderId="0" xfId="0" applyAlignment="1" quotePrefix="1">
      <alignment horizontal="centerContinuous"/>
    </xf>
    <xf numFmtId="5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Continuous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2" fillId="0" borderId="13" xfId="0" applyNumberFormat="1" applyFont="1" applyBorder="1" applyAlignment="1">
      <alignment vertical="center" wrapText="1"/>
    </xf>
    <xf numFmtId="5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Fill="1" applyBorder="1" applyAlignment="1" quotePrefix="1">
      <alignment horizontal="left" vertical="center"/>
    </xf>
    <xf numFmtId="0" fontId="0" fillId="0" borderId="0" xfId="0" applyAlignment="1">
      <alignment/>
    </xf>
    <xf numFmtId="5" fontId="5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7" fillId="0" borderId="16" xfId="0" applyNumberFormat="1" applyFont="1" applyBorder="1" applyAlignment="1">
      <alignment horizontal="center" vertical="center" wrapText="1"/>
    </xf>
    <xf numFmtId="5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vertical="center"/>
    </xf>
    <xf numFmtId="5" fontId="6" fillId="0" borderId="20" xfId="0" applyNumberFormat="1" applyFont="1" applyBorder="1" applyAlignment="1">
      <alignment horizontal="center" vertical="center"/>
    </xf>
    <xf numFmtId="5" fontId="6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vertical="center"/>
    </xf>
    <xf numFmtId="5" fontId="6" fillId="0" borderId="23" xfId="0" applyNumberFormat="1" applyFont="1" applyBorder="1" applyAlignment="1">
      <alignment horizontal="center" vertical="center"/>
    </xf>
    <xf numFmtId="5" fontId="6" fillId="0" borderId="2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vertical="center"/>
    </xf>
    <xf numFmtId="5" fontId="6" fillId="0" borderId="26" xfId="0" applyNumberFormat="1" applyFont="1" applyBorder="1" applyAlignment="1">
      <alignment horizontal="center" vertical="center"/>
    </xf>
    <xf numFmtId="5" fontId="6" fillId="0" borderId="2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5" fontId="7" fillId="0" borderId="16" xfId="0" applyNumberFormat="1" applyFont="1" applyBorder="1" applyAlignment="1">
      <alignment horizontal="center" vertical="center"/>
    </xf>
    <xf numFmtId="5" fontId="6" fillId="0" borderId="28" xfId="0" applyNumberFormat="1" applyFont="1" applyBorder="1" applyAlignment="1">
      <alignment horizontal="center" vertical="center"/>
    </xf>
    <xf numFmtId="5" fontId="6" fillId="0" borderId="29" xfId="0" applyNumberFormat="1" applyFont="1" applyBorder="1" applyAlignment="1">
      <alignment horizontal="center" vertical="center"/>
    </xf>
    <xf numFmtId="5" fontId="6" fillId="0" borderId="3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5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10" fillId="0" borderId="0" xfId="0" applyFont="1" applyAlignment="1" quotePrefix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5" fontId="1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0" fillId="0" borderId="16" xfId="0" applyFont="1" applyBorder="1" applyAlignment="1" quotePrefix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3" fontId="0" fillId="0" borderId="17" xfId="0" applyNumberForma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34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35" xfId="0" applyBorder="1" applyAlignment="1">
      <alignment/>
    </xf>
    <xf numFmtId="164" fontId="0" fillId="0" borderId="36" xfId="0" applyNumberFormat="1" applyBorder="1" applyAlignment="1">
      <alignment horizontal="center"/>
    </xf>
    <xf numFmtId="0" fontId="10" fillId="0" borderId="37" xfId="0" applyFont="1" applyBorder="1" applyAlignment="1">
      <alignment/>
    </xf>
    <xf numFmtId="164" fontId="10" fillId="0" borderId="38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6" fontId="1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/>
    </xf>
    <xf numFmtId="5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0" xfId="62" applyFont="1" applyAlignment="1">
      <alignment horizontal="center"/>
    </xf>
    <xf numFmtId="164" fontId="0" fillId="0" borderId="0" xfId="62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5" fontId="5" fillId="0" borderId="4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5" fontId="5" fillId="0" borderId="41" xfId="0" applyNumberFormat="1" applyFont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2" fillId="0" borderId="4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Continuous" vertical="center"/>
    </xf>
    <xf numFmtId="0" fontId="0" fillId="35" borderId="0" xfId="0" applyFill="1" applyAlignment="1">
      <alignment/>
    </xf>
    <xf numFmtId="5" fontId="2" fillId="35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37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7" fillId="35" borderId="0" xfId="0" applyNumberFormat="1" applyFont="1" applyFill="1" applyAlignment="1">
      <alignment/>
    </xf>
    <xf numFmtId="37" fontId="0" fillId="35" borderId="0" xfId="0" applyNumberFormat="1" applyFont="1" applyFill="1" applyAlignment="1">
      <alignment horizontal="center" vertical="center"/>
    </xf>
    <xf numFmtId="37" fontId="0" fillId="35" borderId="0" xfId="0" applyNumberFormat="1" applyFill="1" applyAlignment="1">
      <alignment horizontal="center"/>
    </xf>
    <xf numFmtId="37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wrapText="1"/>
    </xf>
    <xf numFmtId="0" fontId="9" fillId="36" borderId="0" xfId="0" applyNumberFormat="1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5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37" borderId="16" xfId="0" applyFont="1" applyFill="1" applyBorder="1" applyAlignment="1">
      <alignment horizontal="center" vertical="center" wrapText="1"/>
    </xf>
    <xf numFmtId="5" fontId="5" fillId="37" borderId="14" xfId="0" applyNumberFormat="1" applyFont="1" applyFill="1" applyBorder="1" applyAlignment="1">
      <alignment horizontal="center" vertical="center"/>
    </xf>
    <xf numFmtId="5" fontId="5" fillId="0" borderId="42" xfId="0" applyNumberFormat="1" applyFont="1" applyBorder="1" applyAlignment="1">
      <alignment horizontal="center" vertical="center"/>
    </xf>
    <xf numFmtId="5" fontId="5" fillId="0" borderId="13" xfId="0" applyNumberFormat="1" applyFont="1" applyFill="1" applyBorder="1" applyAlignment="1">
      <alignment horizontal="center" vertical="center"/>
    </xf>
    <xf numFmtId="5" fontId="5" fillId="0" borderId="42" xfId="0" applyNumberFormat="1" applyFont="1" applyFill="1" applyBorder="1" applyAlignment="1">
      <alignment horizontal="center" vertical="center"/>
    </xf>
    <xf numFmtId="0" fontId="17" fillId="0" borderId="0" xfId="58" applyFont="1">
      <alignment/>
      <protection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10" fillId="0" borderId="0" xfId="15" applyFont="1">
      <alignment/>
      <protection/>
    </xf>
    <xf numFmtId="164" fontId="10" fillId="0" borderId="0" xfId="15" applyNumberFormat="1" applyFont="1" applyFill="1" applyAlignment="1">
      <alignment horizontal="center"/>
      <protection/>
    </xf>
    <xf numFmtId="0" fontId="10" fillId="0" borderId="0" xfId="15" applyFont="1" applyFill="1">
      <alignment/>
      <protection/>
    </xf>
    <xf numFmtId="0" fontId="18" fillId="38" borderId="0" xfId="15" applyFont="1" applyFill="1">
      <alignment/>
      <protection/>
    </xf>
    <xf numFmtId="164" fontId="10" fillId="38" borderId="0" xfId="15" applyNumberFormat="1" applyFont="1" applyFill="1" applyAlignment="1">
      <alignment horizontal="center" wrapText="1"/>
      <protection/>
    </xf>
    <xf numFmtId="0" fontId="18" fillId="0" borderId="0" xfId="15" applyFont="1" applyFill="1">
      <alignment/>
      <protection/>
    </xf>
    <xf numFmtId="170" fontId="0" fillId="0" borderId="0" xfId="15" applyNumberFormat="1" applyFont="1">
      <alignment/>
      <protection/>
    </xf>
    <xf numFmtId="170" fontId="0" fillId="0" borderId="0" xfId="15" applyNumberFormat="1" applyFont="1" applyFill="1">
      <alignment/>
      <protection/>
    </xf>
    <xf numFmtId="166" fontId="0" fillId="0" borderId="0" xfId="45" applyNumberFormat="1" applyFont="1" applyAlignment="1">
      <alignment/>
    </xf>
    <xf numFmtId="164" fontId="0" fillId="0" borderId="0" xfId="15" applyNumberFormat="1" applyFont="1">
      <alignment/>
      <protection/>
    </xf>
    <xf numFmtId="0" fontId="0" fillId="0" borderId="0" xfId="15" applyFont="1">
      <alignment/>
      <protection/>
    </xf>
    <xf numFmtId="0" fontId="19" fillId="0" borderId="0" xfId="15" applyFont="1">
      <alignment/>
      <protection/>
    </xf>
    <xf numFmtId="0" fontId="18" fillId="39" borderId="0" xfId="15" applyFont="1" applyFill="1">
      <alignment/>
      <protection/>
    </xf>
    <xf numFmtId="164" fontId="10" fillId="39" borderId="0" xfId="15" applyNumberFormat="1" applyFont="1" applyFill="1" applyAlignment="1">
      <alignment horizontal="center" wrapText="1"/>
      <protection/>
    </xf>
    <xf numFmtId="0" fontId="18" fillId="0" borderId="0" xfId="15" applyFont="1">
      <alignment/>
      <protection/>
    </xf>
    <xf numFmtId="0" fontId="10" fillId="40" borderId="0" xfId="15" applyFont="1" applyFill="1">
      <alignment/>
      <protection/>
    </xf>
    <xf numFmtId="164" fontId="10" fillId="40" borderId="0" xfId="15" applyNumberFormat="1" applyFont="1" applyFill="1" applyAlignment="1">
      <alignment horizontal="center" wrapText="1"/>
      <protection/>
    </xf>
    <xf numFmtId="164" fontId="10" fillId="0" borderId="43" xfId="15" applyNumberFormat="1" applyFont="1" applyBorder="1">
      <alignment/>
      <protection/>
    </xf>
    <xf numFmtId="166" fontId="0" fillId="0" borderId="0" xfId="45" applyNumberFormat="1" applyFont="1" applyAlignment="1">
      <alignment horizontal="center" vertical="center" wrapText="1"/>
    </xf>
    <xf numFmtId="166" fontId="0" fillId="33" borderId="0" xfId="45" applyNumberFormat="1" applyFont="1" applyFill="1" applyAlignment="1">
      <alignment horizontal="center" vertical="center" wrapText="1"/>
    </xf>
    <xf numFmtId="166" fontId="10" fillId="33" borderId="0" xfId="45" applyNumberFormat="1" applyFont="1" applyFill="1" applyAlignment="1">
      <alignment horizontal="center" vertical="center" wrapText="1"/>
    </xf>
    <xf numFmtId="37" fontId="0" fillId="0" borderId="0" xfId="58" applyNumberFormat="1" applyAlignment="1">
      <alignment horizontal="center"/>
      <protection/>
    </xf>
    <xf numFmtId="0" fontId="9" fillId="0" borderId="0" xfId="58" applyFont="1">
      <alignment/>
      <protection/>
    </xf>
    <xf numFmtId="0" fontId="7" fillId="0" borderId="0" xfId="58" applyFont="1">
      <alignment/>
      <protection/>
    </xf>
    <xf numFmtId="37" fontId="20" fillId="0" borderId="0" xfId="58" applyNumberFormat="1" applyFont="1" applyAlignment="1">
      <alignment horizontal="center" wrapText="1"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>
      <alignment/>
      <protection/>
    </xf>
    <xf numFmtId="37" fontId="21" fillId="0" borderId="0" xfId="58" applyNumberFormat="1" applyFont="1" applyAlignment="1">
      <alignment horizontal="center" wrapText="1"/>
      <protection/>
    </xf>
    <xf numFmtId="0" fontId="0" fillId="0" borderId="0" xfId="58" quotePrefix="1">
      <alignment/>
      <protection/>
    </xf>
    <xf numFmtId="8" fontId="0" fillId="0" borderId="0" xfId="58" applyNumberFormat="1">
      <alignment/>
      <protection/>
    </xf>
    <xf numFmtId="5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5" fontId="0" fillId="0" borderId="0" xfId="58" applyNumberFormat="1" applyAlignment="1">
      <alignment horizontal="center"/>
      <protection/>
    </xf>
    <xf numFmtId="5" fontId="10" fillId="0" borderId="0" xfId="58" applyNumberFormat="1" applyFont="1" applyAlignment="1">
      <alignment horizontal="center"/>
      <protection/>
    </xf>
    <xf numFmtId="17" fontId="0" fillId="0" borderId="0" xfId="58" applyNumberFormat="1" quotePrefix="1">
      <alignment/>
      <protection/>
    </xf>
    <xf numFmtId="37" fontId="21" fillId="0" borderId="0" xfId="58" applyNumberFormat="1" applyFont="1" applyFill="1" applyAlignment="1">
      <alignment horizontal="center" wrapText="1"/>
      <protection/>
    </xf>
    <xf numFmtId="37" fontId="0" fillId="0" borderId="0" xfId="58" applyNumberFormat="1">
      <alignment/>
      <protection/>
    </xf>
    <xf numFmtId="7" fontId="6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quotePrefix="1">
      <alignment horizontal="center"/>
    </xf>
    <xf numFmtId="0" fontId="6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quotePrefix="1">
      <alignment horizontal="left" wrapText="1"/>
    </xf>
    <xf numFmtId="167" fontId="7" fillId="0" borderId="0" xfId="0" applyNumberFormat="1" applyFont="1" applyFill="1" applyAlignment="1">
      <alignment horizontal="center" vertical="top"/>
    </xf>
    <xf numFmtId="165" fontId="6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5" fontId="5" fillId="0" borderId="14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 quotePrefix="1">
      <alignment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7" fontId="6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5" fontId="5" fillId="37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0" fillId="36" borderId="0" xfId="0" applyNumberFormat="1" applyFont="1" applyFill="1" applyAlignment="1">
      <alignment horizontal="center" vertical="center" wrapText="1"/>
    </xf>
    <xf numFmtId="5" fontId="2" fillId="0" borderId="0" xfId="59" applyNumberFormat="1" applyFont="1" applyFill="1">
      <alignment/>
      <protection/>
    </xf>
    <xf numFmtId="0" fontId="0" fillId="0" borderId="0" xfId="59" applyFill="1">
      <alignment/>
      <protection/>
    </xf>
    <xf numFmtId="0" fontId="0" fillId="0" borderId="0" xfId="59">
      <alignment/>
      <protection/>
    </xf>
    <xf numFmtId="0" fontId="0" fillId="39" borderId="0" xfId="59" applyFill="1">
      <alignment/>
      <protection/>
    </xf>
    <xf numFmtId="0" fontId="10" fillId="39" borderId="0" xfId="59" applyFont="1" applyFill="1" applyAlignment="1">
      <alignment horizontal="center" vertical="center" wrapText="1"/>
      <protection/>
    </xf>
    <xf numFmtId="14" fontId="0" fillId="40" borderId="0" xfId="59" applyNumberFormat="1" applyFont="1" applyFill="1" applyAlignment="1">
      <alignment horizontal="center" vertical="center"/>
      <protection/>
    </xf>
    <xf numFmtId="0" fontId="6" fillId="0" borderId="0" xfId="59" applyNumberFormat="1" applyFont="1" applyAlignment="1">
      <alignment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0" fillId="0" borderId="0" xfId="59" applyFont="1" applyAlignment="1">
      <alignment horizontal="center" wrapText="1"/>
      <protection/>
    </xf>
    <xf numFmtId="37" fontId="0" fillId="0" borderId="0" xfId="59" applyNumberFormat="1" applyFont="1" applyAlignment="1">
      <alignment horizontal="center" wrapText="1"/>
      <protection/>
    </xf>
    <xf numFmtId="0" fontId="7" fillId="33" borderId="0" xfId="59" applyNumberFormat="1" applyFont="1" applyFill="1" applyAlignment="1">
      <alignment/>
      <protection/>
    </xf>
    <xf numFmtId="37" fontId="0" fillId="33" borderId="0" xfId="59" applyNumberFormat="1" applyFill="1" applyAlignment="1">
      <alignment horizontal="center"/>
      <protection/>
    </xf>
    <xf numFmtId="37" fontId="0" fillId="0" borderId="0" xfId="59" applyNumberFormat="1" applyAlignment="1">
      <alignment horizontal="center"/>
      <protection/>
    </xf>
    <xf numFmtId="3" fontId="0" fillId="0" borderId="0" xfId="59" applyNumberFormat="1">
      <alignment/>
      <protection/>
    </xf>
    <xf numFmtId="171" fontId="0" fillId="0" borderId="0" xfId="0" applyNumberFormat="1" applyAlignment="1">
      <alignment/>
    </xf>
    <xf numFmtId="37" fontId="21" fillId="0" borderId="0" xfId="0" applyNumberFormat="1" applyFont="1" applyAlignment="1">
      <alignment horizontal="center" wrapText="1"/>
    </xf>
    <xf numFmtId="0" fontId="0" fillId="0" borderId="0" xfId="0" applyFont="1" applyAlignment="1" quotePrefix="1">
      <alignment/>
    </xf>
    <xf numFmtId="8" fontId="0" fillId="0" borderId="0" xfId="0" applyNumberFormat="1" applyAlignment="1">
      <alignment/>
    </xf>
    <xf numFmtId="17" fontId="0" fillId="0" borderId="0" xfId="0" applyNumberFormat="1" applyFont="1" applyAlignment="1" quotePrefix="1">
      <alignment/>
    </xf>
    <xf numFmtId="0" fontId="2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14" fontId="10" fillId="40" borderId="0" xfId="59" applyNumberFormat="1" applyFont="1" applyFill="1" applyAlignment="1">
      <alignment horizontal="center" vertical="center"/>
      <protection/>
    </xf>
    <xf numFmtId="0" fontId="10" fillId="41" borderId="0" xfId="59" applyFont="1" applyFill="1" applyAlignment="1">
      <alignment horizontal="center" wrapText="1"/>
      <protection/>
    </xf>
  </cellXfs>
  <cellStyles count="53">
    <cellStyle name="Normal" xfId="0"/>
    <cellStyle name="£Z_x0004_Ç_x0006_^_x0004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2R6\AppData\Local\Microsoft\Windows\Temporary%20Internet%20Files\Content.Outlook\PVYDRN44\BN_1115_ACA_Re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gs"/>
      <sheetName val="1115"/>
      <sheetName val="BN_PMPM_MM_New_Years"/>
      <sheetName val="New Enrollment Group in BN"/>
      <sheetName val="New Enrollment Group NOT in BN"/>
      <sheetName val="1115 revised inc new pops"/>
      <sheetName val="Group 1"/>
      <sheetName val="Group 3"/>
      <sheetName val="all others"/>
      <sheetName val="Supplemental"/>
    </sheetNames>
    <sheetDataSet>
      <sheetData sheetId="0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"/>
  <sheetViews>
    <sheetView zoomScalePageLayoutView="0" workbookViewId="0" topLeftCell="A1">
      <selection activeCell="A5" sqref="A5"/>
    </sheetView>
  </sheetViews>
  <sheetFormatPr defaultColWidth="9.140625" defaultRowHeight="12.75"/>
  <sheetData>
    <row r="3" spans="1:3" ht="12.75">
      <c r="A3" s="69" t="s">
        <v>69</v>
      </c>
      <c r="B3" s="111">
        <v>1</v>
      </c>
      <c r="C3" s="69" t="s">
        <v>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50" zoomScaleNormal="5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2" sqref="A2"/>
    </sheetView>
  </sheetViews>
  <sheetFormatPr defaultColWidth="9.140625" defaultRowHeight="12.75"/>
  <cols>
    <col min="1" max="1" width="56.140625" style="0" customWidth="1"/>
    <col min="2" max="6" width="28.00390625" style="0" customWidth="1"/>
    <col min="7" max="8" width="26.00390625" style="0" customWidth="1"/>
    <col min="9" max="10" width="26.57421875" style="0" customWidth="1"/>
    <col min="11" max="13" width="27.140625" style="0" customWidth="1"/>
    <col min="14" max="14" width="29.140625" style="0" customWidth="1"/>
    <col min="15" max="15" width="27.421875" style="0" customWidth="1"/>
    <col min="16" max="20" width="27.140625" style="0" customWidth="1"/>
    <col min="21" max="21" width="29.140625" style="0" customWidth="1"/>
    <col min="22" max="22" width="27.421875" style="0" customWidth="1"/>
  </cols>
  <sheetData>
    <row r="1" spans="2:21" ht="27.75" hidden="1">
      <c r="B1" s="33" t="s">
        <v>76</v>
      </c>
      <c r="C1" s="33"/>
      <c r="D1" s="33"/>
      <c r="E1" s="33"/>
      <c r="F1" s="33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</row>
    <row r="2" spans="1:22" ht="27.75">
      <c r="A2" s="1"/>
      <c r="B2" s="31" t="s">
        <v>0</v>
      </c>
      <c r="C2" s="31"/>
      <c r="D2" s="31"/>
      <c r="E2" s="31"/>
      <c r="F2" s="31"/>
      <c r="G2" s="31"/>
      <c r="H2" s="31" t="s">
        <v>0</v>
      </c>
      <c r="I2" s="2"/>
      <c r="J2" s="2"/>
      <c r="K2" s="2"/>
      <c r="L2" s="2"/>
      <c r="M2" s="2"/>
      <c r="N2" s="2"/>
      <c r="O2" s="2"/>
      <c r="P2" s="31" t="s">
        <v>0</v>
      </c>
      <c r="Q2" s="2"/>
      <c r="R2" s="2"/>
      <c r="S2" s="2"/>
      <c r="T2" s="2"/>
      <c r="U2" s="2"/>
      <c r="V2" s="2"/>
    </row>
    <row r="3" spans="2:22" ht="27.75">
      <c r="B3" s="31" t="s">
        <v>100</v>
      </c>
      <c r="C3" s="31"/>
      <c r="D3" s="31"/>
      <c r="E3" s="31"/>
      <c r="F3" s="31"/>
      <c r="G3" s="31"/>
      <c r="H3" s="31" t="s">
        <v>100</v>
      </c>
      <c r="I3" s="2"/>
      <c r="J3" s="2"/>
      <c r="K3" s="2"/>
      <c r="L3" s="2"/>
      <c r="M3" s="2"/>
      <c r="N3" s="2"/>
      <c r="O3" s="2"/>
      <c r="P3" s="31" t="s">
        <v>100</v>
      </c>
      <c r="Q3" s="2"/>
      <c r="R3" s="2"/>
      <c r="S3" s="2"/>
      <c r="T3" s="2"/>
      <c r="U3" s="2"/>
      <c r="V3" s="2"/>
    </row>
    <row r="4" spans="2:22" ht="37.5" customHeight="1" thickBot="1">
      <c r="B4" s="114" t="s">
        <v>173</v>
      </c>
      <c r="C4" s="31"/>
      <c r="D4" s="31"/>
      <c r="E4" s="31"/>
      <c r="F4" s="31"/>
      <c r="G4" s="31"/>
      <c r="H4" s="114" t="str">
        <f>+B4</f>
        <v>Extension Application Through 12/31/2019</v>
      </c>
      <c r="I4" s="2"/>
      <c r="J4" s="2"/>
      <c r="K4" s="2"/>
      <c r="L4" s="2"/>
      <c r="M4" s="2"/>
      <c r="N4" s="2"/>
      <c r="O4" s="2"/>
      <c r="P4" s="114" t="str">
        <f>B4</f>
        <v>Extension Application Through 12/31/2019</v>
      </c>
      <c r="Q4" s="2"/>
      <c r="R4" s="2"/>
      <c r="S4" s="2"/>
      <c r="T4" s="2"/>
      <c r="U4" s="2"/>
      <c r="V4" s="2"/>
    </row>
    <row r="5" spans="1:22" ht="84.75" customHeight="1" thickBot="1">
      <c r="A5" s="22" t="s">
        <v>1</v>
      </c>
      <c r="B5" s="32" t="s">
        <v>78</v>
      </c>
      <c r="C5" s="32" t="s">
        <v>79</v>
      </c>
      <c r="D5" s="32" t="s">
        <v>80</v>
      </c>
      <c r="E5" s="32" t="s">
        <v>81</v>
      </c>
      <c r="F5" s="32" t="s">
        <v>64</v>
      </c>
      <c r="G5" s="32" t="s">
        <v>77</v>
      </c>
      <c r="H5" s="32" t="s">
        <v>65</v>
      </c>
      <c r="I5" s="32" t="s">
        <v>20</v>
      </c>
      <c r="J5" s="32" t="s">
        <v>55</v>
      </c>
      <c r="K5" s="127" t="s">
        <v>95</v>
      </c>
      <c r="L5" s="127" t="s">
        <v>96</v>
      </c>
      <c r="M5" s="127" t="s">
        <v>97</v>
      </c>
      <c r="N5" s="130" t="s">
        <v>165</v>
      </c>
      <c r="O5" s="32" t="s">
        <v>75</v>
      </c>
      <c r="P5" s="127" t="s">
        <v>166</v>
      </c>
      <c r="Q5" s="127" t="s">
        <v>167</v>
      </c>
      <c r="R5" s="127" t="s">
        <v>168</v>
      </c>
      <c r="S5" s="127" t="s">
        <v>169</v>
      </c>
      <c r="T5" s="127" t="s">
        <v>170</v>
      </c>
      <c r="U5" s="130" t="s">
        <v>171</v>
      </c>
      <c r="V5" s="127" t="s">
        <v>172</v>
      </c>
    </row>
    <row r="6" spans="1:22" ht="64.5" customHeight="1" thickBot="1">
      <c r="A6" s="229" t="s">
        <v>202</v>
      </c>
      <c r="B6" s="5"/>
      <c r="C6" s="4">
        <f>+BN_PMPM_MM!B7*BN_PMPM_MM!B53</f>
        <v>8641454876.8</v>
      </c>
      <c r="D6" s="4">
        <f>+BN_PMPM_MM!C7*BN_PMPM_MM!C53</f>
        <v>9086365132.24</v>
      </c>
      <c r="E6" s="4">
        <f>+BN_PMPM_MM!D7*BN_PMPM_MM!D53</f>
        <v>10048004953.550001</v>
      </c>
      <c r="F6" s="4">
        <f>+BN_PMPM_MM!E7*BN_PMPM_MM!E53</f>
        <v>11210460421.95</v>
      </c>
      <c r="G6" s="4">
        <f>+BN_PMPM_MM!F7*BN_PMPM_MM!F53</f>
        <v>6105699487.599999</v>
      </c>
      <c r="H6" s="4">
        <f>+BN_PMPM_MM!G7*BN_PMPM_MM!G53</f>
        <v>6124915586.139999</v>
      </c>
      <c r="I6" s="4">
        <f>+BN_PMPM_MM!H7*BN_PMPM_MM!H53</f>
        <v>13431555927</v>
      </c>
      <c r="J6" s="4">
        <f>+BN_PMPM_MM!I7*BN_PMPM_MM!I53</f>
        <v>14853389776.800001</v>
      </c>
      <c r="K6" s="4">
        <f>+BN_PMPM_MM!J7*BN_PMPM_MM!J53</f>
        <v>3975139193.55</v>
      </c>
      <c r="L6" s="4">
        <f>+BN_PMPM_MM!K7*BN_PMPM_MM!K53</f>
        <v>3975139193.55</v>
      </c>
      <c r="M6" s="4">
        <f>BN_PMPM_MM!L7*BN_PMPM_MM!L53+BN_PMPM_MM!L8*BN_PMPM_MM!L54</f>
        <v>12414265561.800001</v>
      </c>
      <c r="N6" s="128">
        <f>SUM(C6:M6)</f>
        <v>99866390110.98001</v>
      </c>
      <c r="O6" s="5"/>
      <c r="P6" s="4">
        <f>BN_PMPM_MM!N7*BN_PMPM_MM!N53+BN_PMPM_MM!N8*BN_PMPM_MM!N54</f>
        <v>17645613011.64</v>
      </c>
      <c r="Q6" s="4">
        <f>BN_PMPM_MM!O7*BN_PMPM_MM!O53+BN_PMPM_MM!O8*BN_PMPM_MM!O54</f>
        <v>18810799029.92</v>
      </c>
      <c r="R6" s="4">
        <f>BN_PMPM_MM!P7*BN_PMPM_MM!P53+BN_PMPM_MM!P8*BN_PMPM_MM!P54</f>
        <v>20053186973.04</v>
      </c>
      <c r="S6" s="4">
        <f>BN_PMPM_MM!Q7*BN_PMPM_MM!Q53+BN_PMPM_MM!Q8*BN_PMPM_MM!Q54</f>
        <v>21377810257.04</v>
      </c>
      <c r="T6" s="4">
        <f>BN_PMPM_MM!R7*BN_PMPM_MM!R53+BN_PMPM_MM!R8*BN_PMPM_MM!R54</f>
        <v>22789715192.96</v>
      </c>
      <c r="U6" s="128">
        <f>SUM(P6:T6)</f>
        <v>100677124464.6</v>
      </c>
      <c r="V6" s="5"/>
    </row>
    <row r="7" spans="1:22" ht="49.5" customHeight="1" thickBot="1">
      <c r="A7" s="230" t="s">
        <v>203</v>
      </c>
      <c r="B7" s="5"/>
      <c r="C7" s="6">
        <f>+BN_PMPM_MM!B9*BN_PMPM_MM!B55</f>
        <v>3045582093.72</v>
      </c>
      <c r="D7" s="6">
        <f>+BN_PMPM_MM!C9*BN_PMPM_MM!C55</f>
        <v>3217134169.92</v>
      </c>
      <c r="E7" s="6">
        <f>+BN_PMPM_MM!D9*BN_PMPM_MM!D55</f>
        <v>3856757530.57</v>
      </c>
      <c r="F7" s="6">
        <f>+BN_PMPM_MM!E9*BN_PMPM_MM!E55</f>
        <v>4517252946.16</v>
      </c>
      <c r="G7" s="6">
        <f>+BN_PMPM_MM!F9*BN_PMPM_MM!F55</f>
        <v>2467348367.67</v>
      </c>
      <c r="H7" s="6">
        <f>+BN_PMPM_MM!G9*BN_PMPM_MM!G55</f>
        <v>2443182701.895</v>
      </c>
      <c r="I7" s="6">
        <f>+BN_PMPM_MM!H9*BN_PMPM_MM!H55</f>
        <v>5362266873.6</v>
      </c>
      <c r="J7" s="6">
        <f>+BN_PMPM_MM!I9*BN_PMPM_MM!I55</f>
        <v>5914379682.4</v>
      </c>
      <c r="K7" s="6">
        <f>+BN_PMPM_MM!J9*BN_PMPM_MM!J55</f>
        <v>1579889213</v>
      </c>
      <c r="L7" s="6">
        <f>+BN_PMPM_MM!K9*BN_PMPM_MM!K55</f>
        <v>1579889213</v>
      </c>
      <c r="M7" s="6">
        <f>BN_PMPM_MM!L9*BN_PMPM_MM!L55+BN_PMPM_MM!L10*BN_PMPM_MM!L56</f>
        <v>4990746528.04</v>
      </c>
      <c r="N7" s="128">
        <f aca="true" t="shared" si="0" ref="N7:N18">SUM(C7:M7)</f>
        <v>38974429319.975</v>
      </c>
      <c r="O7" s="5"/>
      <c r="P7" s="6">
        <f>BN_PMPM_MM!N9*BN_PMPM_MM!N55+BN_PMPM_MM!N10*BN_PMPM_MM!N56</f>
        <v>7081635470.849999</v>
      </c>
      <c r="Q7" s="6">
        <f>BN_PMPM_MM!O9*BN_PMPM_MM!O55+BN_PMPM_MM!O10*BN_PMPM_MM!O56</f>
        <v>7535329645.05</v>
      </c>
      <c r="R7" s="6">
        <f>BN_PMPM_MM!P9*BN_PMPM_MM!P55+BN_PMPM_MM!P10*BN_PMPM_MM!P56</f>
        <v>8018298046.719999</v>
      </c>
      <c r="S7" s="6">
        <f>BN_PMPM_MM!Q9*BN_PMPM_MM!Q55+BN_PMPM_MM!Q10*BN_PMPM_MM!Q56</f>
        <v>8532242453.3</v>
      </c>
      <c r="T7" s="6">
        <f>BN_PMPM_MM!R9*BN_PMPM_MM!R55+BN_PMPM_MM!R10*BN_PMPM_MM!R56</f>
        <v>9079281992.74</v>
      </c>
      <c r="U7" s="128">
        <f aca="true" t="shared" si="1" ref="U7:U18">SUM(P7:T7)</f>
        <v>40246787608.659996</v>
      </c>
      <c r="V7" s="5"/>
    </row>
    <row r="8" spans="1:22" ht="48" customHeight="1" thickBot="1">
      <c r="A8" s="36" t="s">
        <v>7</v>
      </c>
      <c r="B8" s="5"/>
      <c r="C8" s="7">
        <f>+BN_PMPM_MM!B11*BN_PMPM_MM!B59</f>
        <v>1691957918.9399998</v>
      </c>
      <c r="D8" s="7">
        <f>+BN_PMPM_MM!C11*BN_PMPM_MM!C59</f>
        <v>1813935484.5</v>
      </c>
      <c r="E8" s="7">
        <f>+BN_PMPM_MM!D11*BN_PMPM_MM!D59</f>
        <v>1746457301.16</v>
      </c>
      <c r="F8" s="7">
        <f>+BN_PMPM_MM!E11*BN_PMPM_MM!E59</f>
        <v>1874936618.3503811</v>
      </c>
      <c r="G8" s="7">
        <f>+BN_PMPM_MM!F11*BN_PMPM_MM!F59</f>
        <v>1043047420.0000001</v>
      </c>
      <c r="H8" s="7">
        <f>+BN_PMPM_MM!G11*BN_PMPM_MM!G59</f>
        <v>1055415331</v>
      </c>
      <c r="I8" s="7">
        <f>+BN_PMPM_MM!H11*BN_PMPM_MM!H59</f>
        <v>2341067454</v>
      </c>
      <c r="J8" s="7">
        <f>+BN_PMPM_MM!I11*BN_PMPM_MM!I59</f>
        <v>2632237613</v>
      </c>
      <c r="K8" s="7">
        <f>+BN_PMPM_MM!J11*BN_PMPM_MM!J59</f>
        <v>724658042</v>
      </c>
      <c r="L8" s="7"/>
      <c r="M8" s="7"/>
      <c r="N8" s="128">
        <f t="shared" si="0"/>
        <v>14923713182.95038</v>
      </c>
      <c r="O8" s="5"/>
      <c r="P8" s="6"/>
      <c r="Q8" s="6"/>
      <c r="R8" s="6"/>
      <c r="S8" s="6"/>
      <c r="T8" s="6"/>
      <c r="U8" s="128">
        <f t="shared" si="1"/>
        <v>0</v>
      </c>
      <c r="V8" s="5"/>
    </row>
    <row r="9" spans="1:22" ht="57" customHeight="1" hidden="1">
      <c r="A9" s="36" t="s">
        <v>56</v>
      </c>
      <c r="B9" s="5"/>
      <c r="C9" s="7"/>
      <c r="D9" s="7"/>
      <c r="E9" s="7"/>
      <c r="F9" s="7">
        <f>+BN_PMPM_MM!E11*BN_PMPM_MM!E60</f>
        <v>0</v>
      </c>
      <c r="G9" s="7">
        <f>+BN_PMPM_MM!F11*BN_PMPM_MM!F60</f>
        <v>0</v>
      </c>
      <c r="H9" s="7">
        <f>+BN_PMPM_MM!G11*BN_PMPM_MM!G60</f>
        <v>0</v>
      </c>
      <c r="I9" s="7">
        <f>+BN_PMPM_MM!H11*BN_PMPM_MM!H60</f>
        <v>0</v>
      </c>
      <c r="J9" s="7">
        <f>+BN_PMPM_MM!I11*BN_PMPM_MM!I60</f>
        <v>0</v>
      </c>
      <c r="K9" s="7">
        <f>+BN_PMPM_MM!J11*BN_PMPM_MM!J60</f>
        <v>0</v>
      </c>
      <c r="L9" s="7">
        <f>+BN_PMPM_MM!K11*BN_PMPM_MM!K60</f>
        <v>0</v>
      </c>
      <c r="M9" s="7"/>
      <c r="N9" s="128">
        <f t="shared" si="0"/>
        <v>0</v>
      </c>
      <c r="O9" s="5"/>
      <c r="P9" s="6"/>
      <c r="Q9" s="6"/>
      <c r="R9" s="6"/>
      <c r="S9" s="6"/>
      <c r="T9" s="6"/>
      <c r="U9" s="128">
        <f t="shared" si="1"/>
        <v>0</v>
      </c>
      <c r="V9" s="5"/>
    </row>
    <row r="10" spans="1:22" ht="51" customHeight="1" thickBot="1">
      <c r="A10" s="112" t="s">
        <v>18</v>
      </c>
      <c r="B10" s="5"/>
      <c r="C10" s="108"/>
      <c r="D10" s="108"/>
      <c r="E10" s="108"/>
      <c r="F10" s="108"/>
      <c r="G10" s="108"/>
      <c r="H10" s="7">
        <f>+BN_PMPM_MM!G13*BN_PMPM_MM!G67</f>
        <v>5140240.7</v>
      </c>
      <c r="I10" s="7">
        <f>+BN_PMPM_MM!H13*BN_PMPM_MM!H67</f>
        <v>10702270.799999999</v>
      </c>
      <c r="J10" s="7">
        <f>+BN_PMPM_MM!I13*BN_PMPM_MM!I67</f>
        <v>1856550.9333333336</v>
      </c>
      <c r="K10" s="7"/>
      <c r="L10" s="7"/>
      <c r="M10" s="7"/>
      <c r="N10" s="128">
        <f t="shared" si="0"/>
        <v>17699062.433333334</v>
      </c>
      <c r="O10" s="5"/>
      <c r="P10" s="6"/>
      <c r="Q10" s="6"/>
      <c r="R10" s="6"/>
      <c r="S10" s="6"/>
      <c r="T10" s="6"/>
      <c r="U10" s="128">
        <f t="shared" si="1"/>
        <v>0</v>
      </c>
      <c r="V10" s="5"/>
    </row>
    <row r="11" spans="1:22" ht="49.5" customHeight="1" thickBot="1">
      <c r="A11" s="107" t="s">
        <v>73</v>
      </c>
      <c r="B11" s="5"/>
      <c r="C11" s="110"/>
      <c r="D11" s="110"/>
      <c r="E11" s="110"/>
      <c r="F11" s="110"/>
      <c r="G11" s="110"/>
      <c r="H11" s="7"/>
      <c r="I11" s="7">
        <f>IF(mltcflag=1,+BN_PMPM_MM!H15*BN_PMPM_MM!H69,0)</f>
        <v>247394783.52</v>
      </c>
      <c r="J11" s="7">
        <f>IF(mltcflag=1,+BN_PMPM_MM!I15*BN_PMPM_MM!I69,0)</f>
        <v>1027336329.8000001</v>
      </c>
      <c r="K11" s="7">
        <f>IF(mltcflag=1,+BN_PMPM_MM!J15*BN_PMPM_MM!J69,0)</f>
        <v>260284563.37</v>
      </c>
      <c r="L11" s="7">
        <f>IF(mltcflag=1,+BN_PMPM_MM!K15*BN_PMPM_MM!K69,0)</f>
        <v>260284563.37</v>
      </c>
      <c r="M11" s="7">
        <f>IF(mltcflag=1,+BN_PMPM_MM!L15*BN_PMPM_MM!L69,0)</f>
        <v>810989158.595</v>
      </c>
      <c r="N11" s="128">
        <f t="shared" si="0"/>
        <v>2606289398.6549997</v>
      </c>
      <c r="O11" s="5"/>
      <c r="P11" s="6">
        <f>IF(mltcflag=1,+BN_PMPM_MM!N15*BN_PMPM_MM!N69,0)</f>
        <v>1172096556.1200001</v>
      </c>
      <c r="Q11" s="6">
        <f>IF(mltcflag=1,+BN_PMPM_MM!O15*BN_PMPM_MM!O69,0)</f>
        <v>1364802292.2</v>
      </c>
      <c r="R11" s="6">
        <f>IF(mltcflag=1,+BN_PMPM_MM!P15*BN_PMPM_MM!P69,0)</f>
        <v>1383228677.1200001</v>
      </c>
      <c r="S11" s="6">
        <f>IF(mltcflag=1,+BN_PMPM_MM!Q15*BN_PMPM_MM!Q69,0)</f>
        <v>1400567568.4</v>
      </c>
      <c r="T11" s="6">
        <f>IF(mltcflag=1,+BN_PMPM_MM!R15*BN_PMPM_MM!R69,0)</f>
        <v>1417233941.7600002</v>
      </c>
      <c r="U11" s="128">
        <f t="shared" si="1"/>
        <v>6737929035.6</v>
      </c>
      <c r="V11" s="5"/>
    </row>
    <row r="12" spans="1:22" ht="49.5" customHeight="1" thickBot="1">
      <c r="A12" s="107" t="s">
        <v>74</v>
      </c>
      <c r="B12" s="5"/>
      <c r="C12" s="110"/>
      <c r="D12" s="110"/>
      <c r="E12" s="110"/>
      <c r="F12" s="110"/>
      <c r="G12" s="110"/>
      <c r="H12" s="7"/>
      <c r="I12" s="7">
        <f>IF(mltcflag=1,+BN_PMPM_MM!H17*BN_PMPM_MM!H71,0)</f>
        <v>2554212090.85</v>
      </c>
      <c r="J12" s="7">
        <f>IF(mltcflag=1,+BN_PMPM_MM!I17*BN_PMPM_MM!I71,0)</f>
        <v>10820566374.8</v>
      </c>
      <c r="K12" s="7">
        <f>IF(mltcflag=1,+BN_PMPM_MM!J17*BN_PMPM_MM!J71,0)</f>
        <v>2796750566.3999996</v>
      </c>
      <c r="L12" s="7">
        <f>IF(mltcflag=1,+BN_PMPM_MM!K17*BN_PMPM_MM!K71,0)</f>
        <v>2796750566.3999996</v>
      </c>
      <c r="M12" s="7">
        <f>IF(mltcflag=1,+BN_PMPM_MM!L17*BN_PMPM_MM!L71,0)</f>
        <v>8757811130.88</v>
      </c>
      <c r="N12" s="128">
        <f t="shared" si="0"/>
        <v>27726090729.329994</v>
      </c>
      <c r="O12" s="5"/>
      <c r="P12" s="6">
        <f>IF(mltcflag=1,+BN_PMPM_MM!N17*BN_PMPM_MM!N71,0)</f>
        <v>13028810691.78</v>
      </c>
      <c r="Q12" s="6">
        <f>IF(mltcflag=1,+BN_PMPM_MM!O17*BN_PMPM_MM!O71,0)</f>
        <v>15702703365.72</v>
      </c>
      <c r="R12" s="6">
        <f>IF(mltcflag=1,+BN_PMPM_MM!P17*BN_PMPM_MM!P71,0)</f>
        <v>16234869316.88</v>
      </c>
      <c r="S12" s="6">
        <f>IF(mltcflag=1,+BN_PMPM_MM!Q17*BN_PMPM_MM!Q71,0)</f>
        <v>16769495564.64</v>
      </c>
      <c r="T12" s="6">
        <f>IF(mltcflag=1,+BN_PMPM_MM!R17*BN_PMPM_MM!R71,0)</f>
        <v>17311153073.76</v>
      </c>
      <c r="U12" s="128">
        <f t="shared" si="1"/>
        <v>79047032012.78</v>
      </c>
      <c r="V12" s="5"/>
    </row>
    <row r="13" spans="1:22" ht="122.25" thickBot="1">
      <c r="A13" s="129" t="s">
        <v>204</v>
      </c>
      <c r="B13" s="5"/>
      <c r="C13" s="110"/>
      <c r="D13" s="110"/>
      <c r="E13" s="110"/>
      <c r="F13" s="110"/>
      <c r="G13" s="110"/>
      <c r="H13" s="7"/>
      <c r="I13" s="7"/>
      <c r="J13" s="7"/>
      <c r="K13" s="7"/>
      <c r="L13" s="7"/>
      <c r="M13" s="7">
        <f>BN_PMPM_MM!L19*BN_PMPM_MM!L73</f>
        <v>6740030751.773024</v>
      </c>
      <c r="N13" s="128">
        <f t="shared" si="0"/>
        <v>6740030751.773024</v>
      </c>
      <c r="O13" s="5"/>
      <c r="P13" s="6">
        <f>BN_PMPM_MM!N19*BN_PMPM_MM!N73</f>
        <v>5217606004.874969</v>
      </c>
      <c r="Q13" s="6">
        <f>BN_PMPM_MM!O19*BN_PMPM_MM!O73</f>
        <v>5221378988.899952</v>
      </c>
      <c r="R13" s="6">
        <f>BN_PMPM_MM!P19*BN_PMPM_MM!P73</f>
        <v>5231860539.965158</v>
      </c>
      <c r="S13" s="6">
        <f>BN_PMPM_MM!Q19*BN_PMPM_MM!Q73</f>
        <v>5552853881.126842</v>
      </c>
      <c r="T13" s="6">
        <f>BN_PMPM_MM!R19*BN_PMPM_MM!R73</f>
        <v>5892047875.653361</v>
      </c>
      <c r="U13" s="128">
        <f t="shared" si="1"/>
        <v>27115747290.520283</v>
      </c>
      <c r="V13" s="5"/>
    </row>
    <row r="14" spans="1:22" ht="122.25" thickBot="1">
      <c r="A14" s="129" t="s">
        <v>205</v>
      </c>
      <c r="B14" s="5"/>
      <c r="C14" s="110"/>
      <c r="D14" s="110"/>
      <c r="E14" s="110"/>
      <c r="F14" s="110"/>
      <c r="G14" s="110"/>
      <c r="H14" s="7"/>
      <c r="I14" s="7"/>
      <c r="J14" s="7"/>
      <c r="K14" s="7"/>
      <c r="L14" s="7"/>
      <c r="M14" s="7">
        <f>BN_PMPM_MM!L20*BN_PMPM_MM!L74</f>
        <v>2917455149.226983</v>
      </c>
      <c r="N14" s="128">
        <f t="shared" si="0"/>
        <v>2917455149.226983</v>
      </c>
      <c r="O14" s="5"/>
      <c r="P14" s="6">
        <f>BN_PMPM_MM!N20*BN_PMPM_MM!N74</f>
        <v>8690188441.12503</v>
      </c>
      <c r="Q14" s="6">
        <f>BN_PMPM_MM!O20*BN_PMPM_MM!O74</f>
        <v>9629135131.100048</v>
      </c>
      <c r="R14" s="6">
        <f>BN_PMPM_MM!P20*BN_PMPM_MM!P74</f>
        <v>10591938428.034842</v>
      </c>
      <c r="S14" s="6">
        <f>BN_PMPM_MM!Q20*BN_PMPM_MM!Q74</f>
        <v>11241791702.873158</v>
      </c>
      <c r="T14" s="6">
        <f>BN_PMPM_MM!R20*BN_PMPM_MM!R74</f>
        <v>11928492328.346638</v>
      </c>
      <c r="U14" s="128">
        <f t="shared" si="1"/>
        <v>52081546031.479706</v>
      </c>
      <c r="V14" s="5"/>
    </row>
    <row r="15" spans="1:22" ht="122.25" thickBot="1">
      <c r="A15" s="129" t="s">
        <v>207</v>
      </c>
      <c r="B15" s="5"/>
      <c r="C15" s="110"/>
      <c r="D15" s="110"/>
      <c r="E15" s="110"/>
      <c r="F15" s="110"/>
      <c r="G15" s="110"/>
      <c r="H15" s="7"/>
      <c r="I15" s="7"/>
      <c r="J15" s="7"/>
      <c r="K15" s="7"/>
      <c r="L15" s="7"/>
      <c r="M15" s="7">
        <f>BN_PMPM_MM!L21*BN_PMPM_MM!L75</f>
        <v>297127032.38309413</v>
      </c>
      <c r="N15" s="128">
        <f t="shared" si="0"/>
        <v>297127032.38309413</v>
      </c>
      <c r="O15" s="5"/>
      <c r="P15" s="6">
        <f>BN_PMPM_MM!N21*BN_PMPM_MM!N75</f>
        <v>115287673.71202202</v>
      </c>
      <c r="Q15" s="6">
        <f>BN_PMPM_MM!O21*BN_PMPM_MM!O75</f>
        <v>96117800.87818761</v>
      </c>
      <c r="R15" s="6">
        <f>BN_PMPM_MM!P21*BN_PMPM_MM!P75</f>
        <v>77899576.99385554</v>
      </c>
      <c r="S15" s="6">
        <f>BN_PMPM_MM!Q21*BN_PMPM_MM!Q75</f>
        <v>82079354.4022581</v>
      </c>
      <c r="T15" s="6">
        <f>BN_PMPM_MM!R21*BN_PMPM_MM!R75</f>
        <v>86505001.06997846</v>
      </c>
      <c r="U15" s="128">
        <f t="shared" si="1"/>
        <v>457889407.0563018</v>
      </c>
      <c r="V15" s="5"/>
    </row>
    <row r="16" spans="1:22" ht="122.25" thickBot="1">
      <c r="A16" s="129" t="s">
        <v>206</v>
      </c>
      <c r="B16" s="5"/>
      <c r="C16" s="110"/>
      <c r="D16" s="110"/>
      <c r="E16" s="110"/>
      <c r="F16" s="110"/>
      <c r="G16" s="110"/>
      <c r="H16" s="7"/>
      <c r="I16" s="7"/>
      <c r="J16" s="7"/>
      <c r="K16" s="7"/>
      <c r="L16" s="7"/>
      <c r="M16" s="7">
        <f>BN_PMPM_MM!L22*BN_PMPM_MM!L76</f>
        <v>196481342.6169059</v>
      </c>
      <c r="N16" s="128">
        <f t="shared" si="0"/>
        <v>196481342.6169059</v>
      </c>
      <c r="O16" s="5"/>
      <c r="P16" s="6">
        <f>BN_PMPM_MM!N22*BN_PMPM_MM!N76</f>
        <v>581017822.2879779</v>
      </c>
      <c r="Q16" s="6">
        <f>BN_PMPM_MM!O22*BN_PMPM_MM!O76</f>
        <v>639235895.1218123</v>
      </c>
      <c r="R16" s="6">
        <f>BN_PMPM_MM!P22*BN_PMPM_MM!P76</f>
        <v>698311673.6728104</v>
      </c>
      <c r="S16" s="6">
        <f>BN_PMPM_MM!Q22*BN_PMPM_MM!Q76</f>
        <v>735780264.2644078</v>
      </c>
      <c r="T16" s="6">
        <f>BN_PMPM_MM!R22*BN_PMPM_MM!R76</f>
        <v>775452889.5966874</v>
      </c>
      <c r="U16" s="128">
        <f t="shared" si="1"/>
        <v>3429798544.9436955</v>
      </c>
      <c r="V16" s="5"/>
    </row>
    <row r="17" spans="1:22" ht="41.25" thickBot="1">
      <c r="A17" s="129" t="s">
        <v>208</v>
      </c>
      <c r="B17" s="5"/>
      <c r="C17" s="110"/>
      <c r="D17" s="110"/>
      <c r="E17" s="110"/>
      <c r="F17" s="110"/>
      <c r="G17" s="110"/>
      <c r="H17" s="7"/>
      <c r="I17" s="7"/>
      <c r="J17" s="7"/>
      <c r="K17" s="7"/>
      <c r="L17" s="7"/>
      <c r="M17" s="7">
        <f>BN_PMPM_MM!L23*BN_PMPM_MM!L77</f>
        <v>260463274.2</v>
      </c>
      <c r="N17" s="128">
        <f t="shared" si="0"/>
        <v>260463274.2</v>
      </c>
      <c r="O17" s="5"/>
      <c r="P17" s="6">
        <f>BN_PMPM_MM!N23*BN_PMPM_MM!N77</f>
        <v>373622309.4</v>
      </c>
      <c r="Q17" s="6">
        <f>BN_PMPM_MM!O23*BN_PMPM_MM!O77</f>
        <v>399781369.975</v>
      </c>
      <c r="R17" s="6">
        <f>BN_PMPM_MM!P23*BN_PMPM_MM!P77</f>
        <v>425974437.17999995</v>
      </c>
      <c r="S17" s="6">
        <f>BN_PMPM_MM!Q23*BN_PMPM_MM!Q77</f>
        <v>451106815.23</v>
      </c>
      <c r="T17" s="6">
        <f>BN_PMPM_MM!R23*BN_PMPM_MM!R77</f>
        <v>477722058.92999995</v>
      </c>
      <c r="U17" s="128">
        <f t="shared" si="1"/>
        <v>2128206990.7149997</v>
      </c>
      <c r="V17" s="5"/>
    </row>
    <row r="18" spans="1:22" ht="41.25" thickBot="1">
      <c r="A18" s="129" t="s">
        <v>209</v>
      </c>
      <c r="B18" s="5"/>
      <c r="C18" s="110"/>
      <c r="D18" s="110"/>
      <c r="E18" s="110"/>
      <c r="F18" s="110"/>
      <c r="G18" s="110"/>
      <c r="H18" s="7"/>
      <c r="I18" s="7"/>
      <c r="J18" s="7"/>
      <c r="K18" s="7"/>
      <c r="L18" s="7"/>
      <c r="M18" s="7">
        <f>BN_PMPM_MM!L24*BN_PMPM_MM!L78</f>
        <v>67786018.72</v>
      </c>
      <c r="N18" s="128">
        <f t="shared" si="0"/>
        <v>67786018.72</v>
      </c>
      <c r="O18" s="5"/>
      <c r="P18" s="6">
        <f>BN_PMPM_MM!N24*BN_PMPM_MM!N78</f>
        <v>95105015.80999999</v>
      </c>
      <c r="Q18" s="6">
        <f>BN_PMPM_MM!O24*BN_PMPM_MM!O78</f>
        <v>99552525.92999999</v>
      </c>
      <c r="R18" s="6">
        <f>BN_PMPM_MM!P24*BN_PMPM_MM!P78</f>
        <v>103795255.575</v>
      </c>
      <c r="S18" s="6">
        <f>BN_PMPM_MM!Q24*BN_PMPM_MM!Q78</f>
        <v>107531929.65</v>
      </c>
      <c r="T18" s="6">
        <f>BN_PMPM_MM!R24*BN_PMPM_MM!R78</f>
        <v>111403115.55000001</v>
      </c>
      <c r="U18" s="128">
        <f t="shared" si="1"/>
        <v>517387842.51500005</v>
      </c>
      <c r="V18" s="5"/>
    </row>
    <row r="19" spans="1:22" ht="31.5" customHeight="1" thickBot="1">
      <c r="A19" s="109" t="s">
        <v>3</v>
      </c>
      <c r="B19" s="9">
        <v>144639878522.772</v>
      </c>
      <c r="C19" s="9">
        <f aca="true" t="shared" si="2" ref="C19:M19">SUM(C6:C18)</f>
        <v>13378994889.46</v>
      </c>
      <c r="D19" s="9">
        <f t="shared" si="2"/>
        <v>14117434786.66</v>
      </c>
      <c r="E19" s="9">
        <f t="shared" si="2"/>
        <v>15651219785.28</v>
      </c>
      <c r="F19" s="9">
        <f t="shared" si="2"/>
        <v>17602649986.46038</v>
      </c>
      <c r="G19" s="9">
        <f t="shared" si="2"/>
        <v>9616095275.27</v>
      </c>
      <c r="H19" s="9">
        <f t="shared" si="2"/>
        <v>9628653859.735</v>
      </c>
      <c r="I19" s="9">
        <f t="shared" si="2"/>
        <v>23947199399.769997</v>
      </c>
      <c r="J19" s="9">
        <f t="shared" si="2"/>
        <v>35249766327.73334</v>
      </c>
      <c r="K19" s="9">
        <f t="shared" si="2"/>
        <v>9336721578.32</v>
      </c>
      <c r="L19" s="9">
        <f t="shared" si="2"/>
        <v>8612063536.32</v>
      </c>
      <c r="M19" s="9">
        <f t="shared" si="2"/>
        <v>37453155948.23501</v>
      </c>
      <c r="N19" s="9">
        <f>SUM(C19:M19)</f>
        <v>194593955373.24374</v>
      </c>
      <c r="O19" s="9">
        <f>+N19+B19</f>
        <v>339233833896.01575</v>
      </c>
      <c r="P19" s="9">
        <f>SUM(P6:P18)</f>
        <v>54000982997.6</v>
      </c>
      <c r="Q19" s="9">
        <f>SUM(Q6:Q18)</f>
        <v>59498836044.795</v>
      </c>
      <c r="R19" s="9">
        <f>SUM(R6:R18)</f>
        <v>62819362925.18167</v>
      </c>
      <c r="S19" s="9">
        <f>SUM(S6:S18)</f>
        <v>66251259790.926674</v>
      </c>
      <c r="T19" s="9">
        <f>SUM(T6:T18)</f>
        <v>69869007470.36667</v>
      </c>
      <c r="U19" s="9">
        <f>SUM(P19:T19)</f>
        <v>312439449228.87</v>
      </c>
      <c r="V19" s="9">
        <f>O19+U19</f>
        <v>651673283124.8857</v>
      </c>
    </row>
    <row r="20" ht="42.75" customHeight="1" thickBot="1"/>
    <row r="21" spans="1:22" ht="81" customHeight="1" thickBot="1">
      <c r="A21" s="22" t="s">
        <v>4</v>
      </c>
      <c r="B21" s="35" t="str">
        <f aca="true" t="shared" si="3" ref="B21:V21">B5</f>
        <v>DY 1 - 8
(10/1/97 - 9/30/06)
Projected</v>
      </c>
      <c r="C21" s="35" t="str">
        <f t="shared" si="3"/>
        <v>DY 9
 (10/1/06-9/30/07)
  Actual</v>
      </c>
      <c r="D21" s="35" t="str">
        <f t="shared" si="3"/>
        <v>DY 10
 (10/1/07-9/30/08)
  Actual</v>
      </c>
      <c r="E21" s="35" t="str">
        <f t="shared" si="3"/>
        <v>DY 11
 (10/1/08-9/30/09)
  Actual</v>
      </c>
      <c r="F21" s="35" t="str">
        <f t="shared" si="3"/>
        <v>DY 12
 (10/1/09-9/30/10)
  Actual</v>
      </c>
      <c r="G21" s="35" t="str">
        <f t="shared" si="3"/>
        <v>DY 13A
 10/1/10-3/31/11)
 Actual</v>
      </c>
      <c r="H21" s="35" t="str">
        <f t="shared" si="3"/>
        <v>DY 13B
 (4/1/11-9/30/11)
  Projected</v>
      </c>
      <c r="I21" s="35" t="str">
        <f t="shared" si="3"/>
        <v>DY 14
 (10/1/11-9/30/12)
  Projected</v>
      </c>
      <c r="J21" s="35" t="str">
        <f t="shared" si="3"/>
        <v>DY 15
 (10/1/12-9/30/13)
  Projected</v>
      </c>
      <c r="K21" s="35" t="str">
        <f t="shared" si="3"/>
        <v>DY 16A
 (10/1/13-12/31/13)
  Projected</v>
      </c>
      <c r="L21" s="127" t="str">
        <f t="shared" si="3"/>
        <v>DY 16B
 (1/1/14-3/31/14)
  Projected</v>
      </c>
      <c r="M21" s="127" t="str">
        <f t="shared" si="3"/>
        <v>DY 16C 
(4/1/14 - 12/31/14)
  Projected</v>
      </c>
      <c r="N21" s="130" t="str">
        <f t="shared" si="3"/>
        <v>Extension Period
(10/1/06 - 12/31/14)
Projected</v>
      </c>
      <c r="O21" s="35" t="str">
        <f t="shared" si="3"/>
        <v>DY 1 - DY 16</v>
      </c>
      <c r="P21" s="127" t="str">
        <f t="shared" si="3"/>
        <v>DY 17 
(1/1/15 - 12/31/15)
  Projected</v>
      </c>
      <c r="Q21" s="127" t="str">
        <f t="shared" si="3"/>
        <v>DY 18 
(1/1/16 - 12/31/16)
  Projected</v>
      </c>
      <c r="R21" s="127" t="str">
        <f t="shared" si="3"/>
        <v>DY 19 
(1/1/17 - 12/31/17)
  Projected</v>
      </c>
      <c r="S21" s="127" t="str">
        <f t="shared" si="3"/>
        <v>DY 20 
(1/1/18 - 12/31/18)
  Projected</v>
      </c>
      <c r="T21" s="127" t="str">
        <f t="shared" si="3"/>
        <v>DY 21 
(1/1/19 - 12/31/19)
  Projected</v>
      </c>
      <c r="U21" s="130" t="str">
        <f t="shared" si="3"/>
        <v>Current Extension Period
(1/1/15 - 12/31/19)
Projected</v>
      </c>
      <c r="V21" s="127" t="str">
        <f t="shared" si="3"/>
        <v>DY 1 - DY 21</v>
      </c>
    </row>
    <row r="22" spans="1:22" ht="61.5" thickBot="1">
      <c r="A22" s="229" t="s">
        <v>212</v>
      </c>
      <c r="B22" s="3"/>
      <c r="C22" s="4">
        <f>+BN_PMPM_MM!B28*BN_PMPM_MM!B53</f>
        <v>4006367977.3250813</v>
      </c>
      <c r="D22" s="4">
        <f>ROUND(+BN_PMPM_MM!C28*BN_PMPM_MM!C53,0)</f>
        <v>4412472964</v>
      </c>
      <c r="E22" s="4">
        <f>+BN_PMPM_MM!D28*BN_PMPM_MM!D53</f>
        <v>4828196167.628888</v>
      </c>
      <c r="F22" s="4">
        <f>+BN_PMPM_MM!E28*BN_PMPM_MM!E53</f>
        <v>4492088177.2688875</v>
      </c>
      <c r="G22" s="4">
        <f>+BN_PMPM_MM!F28*BN_PMPM_MM!F53</f>
        <v>1827792862.517778</v>
      </c>
      <c r="H22" s="4">
        <f>+BN_PMPM_MM!G28*BN_PMPM_MM!G53</f>
        <v>2801314812.8209977</v>
      </c>
      <c r="I22" s="4">
        <f>+BN_PMPM_MM!H28*BN_PMPM_MM!H53</f>
        <v>6274647759.992848</v>
      </c>
      <c r="J22" s="4">
        <f>+BN_PMPM_MM!I28*BN_PMPM_MM!I53</f>
        <v>6920891478.213391</v>
      </c>
      <c r="K22" s="4">
        <f>+BN_PMPM_MM!J28*BN_PMPM_MM!J53</f>
        <v>1841829403.5104156</v>
      </c>
      <c r="L22" s="4">
        <f>+BN_PMPM_MM!K28*BN_PMPM_MM!K53</f>
        <v>1840421311.5098362</v>
      </c>
      <c r="M22" s="4">
        <f>+BN_PMPM_MM!L28*BN_PMPM_MM!L53+BN_PMPM_MM!L29*BN_PMPM_MM!L54</f>
        <v>5730328832.703208</v>
      </c>
      <c r="N22" s="128">
        <f>SUM(C22:M22)</f>
        <v>44976351747.491325</v>
      </c>
      <c r="O22" s="3"/>
      <c r="P22" s="4">
        <f>+BN_PMPM_MM!N28*BN_PMPM_MM!N53+BN_PMPM_MM!N29*BN_PMPM_MM!N54</f>
        <v>7739333330.655382</v>
      </c>
      <c r="Q22" s="4">
        <f>+BN_PMPM_MM!O28*BN_PMPM_MM!O53+BN_PMPM_MM!O29*BN_PMPM_MM!O54</f>
        <v>8241746621.305407</v>
      </c>
      <c r="R22" s="4">
        <f>+BN_PMPM_MM!P28*BN_PMPM_MM!P53+BN_PMPM_MM!P29*BN_PMPM_MM!P54</f>
        <v>8785674939.044628</v>
      </c>
      <c r="S22" s="4">
        <f>+BN_PMPM_MM!Q28*BN_PMPM_MM!Q53+BN_PMPM_MM!Q29*BN_PMPM_MM!Q54</f>
        <v>9314977909.648064</v>
      </c>
      <c r="T22" s="4">
        <f>+BN_PMPM_MM!R28*BN_PMPM_MM!R53+BN_PMPM_MM!R29*BN_PMPM_MM!R54</f>
        <v>9314977909.648064</v>
      </c>
      <c r="U22" s="128">
        <f aca="true" t="shared" si="4" ref="U22:U55">SUM(P22:T22)</f>
        <v>43396710710.301544</v>
      </c>
      <c r="V22" s="3"/>
    </row>
    <row r="23" spans="1:22" ht="41.25" thickBot="1">
      <c r="A23" s="230" t="s">
        <v>203</v>
      </c>
      <c r="B23" s="5"/>
      <c r="C23" s="40">
        <f>+BN_PMPM_MM!B30*BN_PMPM_MM!B55</f>
        <v>2062992138.6629999</v>
      </c>
      <c r="D23" s="40">
        <f>ROUND(+BN_PMPM_MM!C30*BN_PMPM_MM!C55,0)</f>
        <v>2222230858</v>
      </c>
      <c r="E23" s="40">
        <f>+BN_PMPM_MM!D30*BN_PMPM_MM!D55</f>
        <v>2553996034.5266666</v>
      </c>
      <c r="F23" s="40">
        <f>+BN_PMPM_MM!E30*BN_PMPM_MM!E55</f>
        <v>2712728725.5200014</v>
      </c>
      <c r="G23" s="40">
        <f>+BN_PMPM_MM!F30*BN_PMPM_MM!F55</f>
        <v>1159889284.08</v>
      </c>
      <c r="H23" s="40">
        <f>+BN_PMPM_MM!G30*BN_PMPM_MM!G55</f>
        <v>1546569069.0077643</v>
      </c>
      <c r="I23" s="40">
        <f>+BN_PMPM_MM!H30*BN_PMPM_MM!H55</f>
        <v>3469798151.135552</v>
      </c>
      <c r="J23" s="40">
        <f>+BN_PMPM_MM!I30*BN_PMPM_MM!I55</f>
        <v>3820998637.823728</v>
      </c>
      <c r="K23" s="40">
        <f>+BN_PMPM_MM!J30*BN_PMPM_MM!J55</f>
        <v>1019514706.6419251</v>
      </c>
      <c r="L23" s="40">
        <f>+BN_PMPM_MM!K30*BN_PMPM_MM!K55</f>
        <v>1019416724.4961182</v>
      </c>
      <c r="M23" s="40">
        <f>+BN_PMPM_MM!L30*BN_PMPM_MM!L55+BN_PMPM_MM!L31*BN_PMPM_MM!L56</f>
        <v>3245361788.337265</v>
      </c>
      <c r="N23" s="128">
        <f aca="true" t="shared" si="5" ref="N23:N50">SUM(C23:M23)</f>
        <v>24833496118.232018</v>
      </c>
      <c r="O23" s="5"/>
      <c r="P23" s="6">
        <f>+BN_PMPM_MM!N30*BN_PMPM_MM!N55+BN_PMPM_MM!N31*BN_PMPM_MM!N56</f>
        <v>4324089616.055766</v>
      </c>
      <c r="Q23" s="6">
        <f>+BN_PMPM_MM!O30*BN_PMPM_MM!O55+BN_PMPM_MM!O31*BN_PMPM_MM!O56</f>
        <v>4612583471.657008</v>
      </c>
      <c r="R23" s="6">
        <f>+BN_PMPM_MM!P30*BN_PMPM_MM!P55+BN_PMPM_MM!P31*BN_PMPM_MM!P56</f>
        <v>4939531466.470175</v>
      </c>
      <c r="S23" s="6">
        <f>+BN_PMPM_MM!Q30*BN_PMPM_MM!Q55+BN_PMPM_MM!Q31*BN_PMPM_MM!Q56</f>
        <v>5451310346.800507</v>
      </c>
      <c r="T23" s="6">
        <f>+BN_PMPM_MM!R30*BN_PMPM_MM!R55+BN_PMPM_MM!R31*BN_PMPM_MM!R56</f>
        <v>5451310346.800507</v>
      </c>
      <c r="U23" s="128">
        <f t="shared" si="4"/>
        <v>24778825247.783962</v>
      </c>
      <c r="V23" s="5"/>
    </row>
    <row r="24" spans="1:22" ht="52.5" customHeight="1" thickBot="1">
      <c r="A24" s="34" t="s">
        <v>8</v>
      </c>
      <c r="B24" s="5"/>
      <c r="C24" s="6">
        <f>+BN_PMPM_MM!B32*BN_PMPM_MM!B57</f>
        <v>3017805825.7525244</v>
      </c>
      <c r="D24" s="6">
        <f>ROUND(+BN_PMPM_MM!C32*BN_PMPM_MM!C57,0)</f>
        <v>3213033028</v>
      </c>
      <c r="E24" s="6">
        <f>+BN_PMPM_MM!D32*BN_PMPM_MM!D57</f>
        <v>3818572584.091111</v>
      </c>
      <c r="F24" s="6">
        <f>+BN_PMPM_MM!E32*BN_PMPM_MM!E57</f>
        <v>4224557750.588889</v>
      </c>
      <c r="G24" s="6">
        <f>+BN_PMPM_MM!F32*BN_PMPM_MM!F57</f>
        <v>1864361807.2799993</v>
      </c>
      <c r="H24" s="6">
        <f>+BN_PMPM_MM!G32*BN_PMPM_MM!G57</f>
        <v>2829518468.048954</v>
      </c>
      <c r="I24" s="6">
        <f>+BN_PMPM_MM!H32*BN_PMPM_MM!H57</f>
        <v>6893620899.113516</v>
      </c>
      <c r="J24" s="6">
        <f>+BN_PMPM_MM!I32*BN_PMPM_MM!I57</f>
        <v>8184495364.194959</v>
      </c>
      <c r="K24" s="6">
        <f>+BN_PMPM_MM!J32*BN_PMPM_MM!J57</f>
        <v>2210213970.7430224</v>
      </c>
      <c r="L24" s="6"/>
      <c r="M24" s="6"/>
      <c r="N24" s="128">
        <f t="shared" si="5"/>
        <v>36256179697.81297</v>
      </c>
      <c r="O24" s="5"/>
      <c r="P24" s="6"/>
      <c r="Q24" s="6"/>
      <c r="R24" s="6"/>
      <c r="S24" s="6"/>
      <c r="T24" s="6"/>
      <c r="U24" s="128">
        <f t="shared" si="4"/>
        <v>0</v>
      </c>
      <c r="V24" s="5"/>
    </row>
    <row r="25" spans="1:22" ht="57" customHeight="1" thickBot="1">
      <c r="A25" s="36" t="s">
        <v>51</v>
      </c>
      <c r="B25" s="5"/>
      <c r="C25" s="6">
        <f>+BN_PMPM_MM!B34*BN_PMPM_MM!B59</f>
        <v>813927830.7397062</v>
      </c>
      <c r="D25" s="6">
        <f>ROUND(+BN_PMPM_MM!C34*BN_PMPM_MM!C59,0)</f>
        <v>884575928</v>
      </c>
      <c r="E25" s="6">
        <f>+BN_PMPM_MM!D34*BN_PMPM_MM!D59</f>
        <v>894902321.3177778</v>
      </c>
      <c r="F25" s="6">
        <f>+BN_PMPM_MM!E34*BN_PMPM_MM!E59</f>
        <v>965325522.3888888</v>
      </c>
      <c r="G25" s="6">
        <f>+BN_PMPM_MM!F34*BN_PMPM_MM!F59</f>
        <v>502539894.3644444</v>
      </c>
      <c r="H25" s="6">
        <f>+BN_PMPM_MM!G34*BN_PMPM_MM!G59</f>
        <v>553389253.4636745</v>
      </c>
      <c r="I25" s="6">
        <f>+BN_PMPM_MM!H34*BN_PMPM_MM!H59</f>
        <v>1173058138.7885547</v>
      </c>
      <c r="J25" s="6">
        <f>+BN_PMPM_MM!I34*BN_PMPM_MM!I59</f>
        <v>1313450137.2270265</v>
      </c>
      <c r="K25" s="6">
        <f>+BN_PMPM_MM!J34*BN_PMPM_MM!J59</f>
        <v>360124780.39745325</v>
      </c>
      <c r="L25" s="6"/>
      <c r="M25" s="6"/>
      <c r="N25" s="128">
        <f t="shared" si="5"/>
        <v>7461293806.687525</v>
      </c>
      <c r="O25" s="5"/>
      <c r="P25" s="6"/>
      <c r="Q25" s="6"/>
      <c r="R25" s="6"/>
      <c r="S25" s="6"/>
      <c r="T25" s="6"/>
      <c r="U25" s="128">
        <f t="shared" si="4"/>
        <v>0</v>
      </c>
      <c r="V25" s="5"/>
    </row>
    <row r="26" spans="1:22" ht="57" customHeight="1" thickBot="1">
      <c r="A26" s="36" t="s">
        <v>52</v>
      </c>
      <c r="B26" s="5"/>
      <c r="C26" s="6">
        <f>+BN_PMPM_MM!B36*BN_PMPM_MM!B61</f>
        <v>587725573.8799998</v>
      </c>
      <c r="D26" s="6">
        <f>ROUND(+BN_PMPM_MM!C36*BN_PMPM_MM!C61,0)</f>
        <v>566489543</v>
      </c>
      <c r="E26" s="6">
        <f>+BN_PMPM_MM!D36*BN_PMPM_MM!D61</f>
        <v>412034960.5422222</v>
      </c>
      <c r="F26" s="6">
        <f>+BN_PMPM_MM!E36*BN_PMPM_MM!E61</f>
        <v>316237864.2</v>
      </c>
      <c r="G26" s="6">
        <f>+BN_PMPM_MM!F36*BN_PMPM_MM!F61</f>
        <v>155882394.90444443</v>
      </c>
      <c r="H26" s="6">
        <f>+BN_PMPM_MM!G36*BN_PMPM_MM!G61</f>
        <v>173575210.8334627</v>
      </c>
      <c r="I26" s="6">
        <f>+BN_PMPM_MM!H36*BN_PMPM_MM!H61</f>
        <v>352894110.35970956</v>
      </c>
      <c r="J26" s="6">
        <f>+BN_PMPM_MM!I36*BN_PMPM_MM!I61</f>
        <v>401041647.67518616</v>
      </c>
      <c r="K26" s="6">
        <f>+BN_PMPM_MM!J36*BN_PMPM_MM!J61</f>
        <v>110970647.81544665</v>
      </c>
      <c r="L26" s="6"/>
      <c r="M26" s="7"/>
      <c r="N26" s="128">
        <f t="shared" si="5"/>
        <v>3076851953.2104716</v>
      </c>
      <c r="O26" s="5"/>
      <c r="P26" s="6"/>
      <c r="Q26" s="6"/>
      <c r="R26" s="6"/>
      <c r="S26" s="6"/>
      <c r="T26" s="6"/>
      <c r="U26" s="128">
        <f t="shared" si="4"/>
        <v>0</v>
      </c>
      <c r="V26" s="5"/>
    </row>
    <row r="27" spans="1:22" ht="57" customHeight="1" hidden="1">
      <c r="A27" s="36" t="s">
        <v>56</v>
      </c>
      <c r="B27" s="5"/>
      <c r="C27" s="6">
        <f>+BN_PMPM_MM!B34*BN_PMPM_MM!B60</f>
        <v>0</v>
      </c>
      <c r="D27" s="6">
        <f>+BN_PMPM_MM!C34*BN_PMPM_MM!C60</f>
        <v>0</v>
      </c>
      <c r="E27" s="6">
        <f>+BN_PMPM_MM!D34*BN_PMPM_MM!D60</f>
        <v>0</v>
      </c>
      <c r="F27" s="6">
        <f>+BN_PMPM_MM!E34*BN_PMPM_MM!E60</f>
        <v>0</v>
      </c>
      <c r="G27" s="6">
        <f>+BN_PMPM_MM!F34*BN_PMPM_MM!F60</f>
        <v>0</v>
      </c>
      <c r="H27" s="6">
        <f>+BN_PMPM_MM!G34*BN_PMPM_MM!G60</f>
        <v>0</v>
      </c>
      <c r="I27" s="6">
        <f>+BN_PMPM_MM!H34*BN_PMPM_MM!H60</f>
        <v>0</v>
      </c>
      <c r="J27" s="6">
        <f>+BN_PMPM_MM!I34*BN_PMPM_MM!I60</f>
        <v>0</v>
      </c>
      <c r="K27" s="6">
        <f>+BN_PMPM_MM!J34*BN_PMPM_MM!J60</f>
        <v>0</v>
      </c>
      <c r="L27" s="6"/>
      <c r="M27" s="6"/>
      <c r="N27" s="128">
        <f t="shared" si="5"/>
        <v>0</v>
      </c>
      <c r="O27" s="5"/>
      <c r="P27" s="6"/>
      <c r="Q27" s="6"/>
      <c r="R27" s="6"/>
      <c r="S27" s="6"/>
      <c r="T27" s="6"/>
      <c r="U27" s="128">
        <f t="shared" si="4"/>
        <v>0</v>
      </c>
      <c r="V27" s="5"/>
    </row>
    <row r="28" spans="1:22" ht="57" customHeight="1" hidden="1">
      <c r="A28" s="36" t="s">
        <v>57</v>
      </c>
      <c r="B28" s="5"/>
      <c r="C28" s="6">
        <f>+BN_PMPM_MM!B36*BN_PMPM_MM!B62</f>
        <v>0</v>
      </c>
      <c r="D28" s="6">
        <f>+BN_PMPM_MM!C36*BN_PMPM_MM!C62</f>
        <v>0</v>
      </c>
      <c r="E28" s="6">
        <f>+BN_PMPM_MM!D36*BN_PMPM_MM!D62</f>
        <v>0</v>
      </c>
      <c r="F28" s="6">
        <f>+BN_PMPM_MM!E36*BN_PMPM_MM!E62</f>
        <v>0</v>
      </c>
      <c r="G28" s="6">
        <f>+BN_PMPM_MM!F36*BN_PMPM_MM!F62</f>
        <v>0</v>
      </c>
      <c r="H28" s="6">
        <f>+BN_PMPM_MM!G36*BN_PMPM_MM!G62</f>
        <v>0</v>
      </c>
      <c r="I28" s="6">
        <f>+BN_PMPM_MM!H36*BN_PMPM_MM!H62</f>
        <v>0</v>
      </c>
      <c r="J28" s="6">
        <f>+BN_PMPM_MM!I36*BN_PMPM_MM!I62</f>
        <v>0</v>
      </c>
      <c r="K28" s="6">
        <f>+BN_PMPM_MM!J36*BN_PMPM_MM!J62</f>
        <v>0</v>
      </c>
      <c r="L28" s="7"/>
      <c r="M28" s="7"/>
      <c r="N28" s="128">
        <f t="shared" si="5"/>
        <v>0</v>
      </c>
      <c r="O28" s="5"/>
      <c r="P28" s="6"/>
      <c r="Q28" s="6"/>
      <c r="R28" s="6"/>
      <c r="S28" s="6"/>
      <c r="T28" s="6"/>
      <c r="U28" s="128">
        <f t="shared" si="4"/>
        <v>0</v>
      </c>
      <c r="V28" s="5"/>
    </row>
    <row r="29" spans="1:22" ht="57" customHeight="1" thickBot="1">
      <c r="A29" s="36" t="s">
        <v>18</v>
      </c>
      <c r="B29" s="5"/>
      <c r="C29" s="6">
        <f>+BN_PMPM_MM!B38*BN_PMPM_MM!B67</f>
        <v>10471785.404444452</v>
      </c>
      <c r="D29" s="6">
        <f>+BN_PMPM_MM!C38*BN_PMPM_MM!C67</f>
        <v>10598020.3933333</v>
      </c>
      <c r="E29" s="6">
        <f>+BN_PMPM_MM!D38*BN_PMPM_MM!D67</f>
        <v>11138798.511111105</v>
      </c>
      <c r="F29" s="6">
        <f>+BN_PMPM_MM!E38*BN_PMPM_MM!E67</f>
        <v>11835959.5155556</v>
      </c>
      <c r="G29" s="6">
        <f>+BN_PMPM_MM!F38*BN_PMPM_MM!F67</f>
        <v>4164484.83111111</v>
      </c>
      <c r="H29" s="6">
        <f>+BN_PMPM_MM!G38*BN_PMPM_MM!G67</f>
        <v>6573308.3</v>
      </c>
      <c r="I29" s="6">
        <f>+BN_PMPM_MM!H38*BN_PMPM_MM!H67</f>
        <v>13934295.600000001</v>
      </c>
      <c r="J29" s="6">
        <f>+BN_PMPM_MM!I38*BN_PMPM_MM!I67</f>
        <v>2462132.1</v>
      </c>
      <c r="K29" s="6"/>
      <c r="L29" s="7"/>
      <c r="M29" s="7"/>
      <c r="N29" s="128">
        <f t="shared" si="5"/>
        <v>71178784.65555555</v>
      </c>
      <c r="O29" s="5"/>
      <c r="P29" s="6"/>
      <c r="Q29" s="6"/>
      <c r="R29" s="6"/>
      <c r="S29" s="6"/>
      <c r="T29" s="6"/>
      <c r="U29" s="128">
        <f t="shared" si="4"/>
        <v>0</v>
      </c>
      <c r="V29" s="5"/>
    </row>
    <row r="30" spans="1:22" ht="57" customHeight="1" thickBot="1">
      <c r="A30" s="36" t="s">
        <v>50</v>
      </c>
      <c r="B30" s="5"/>
      <c r="C30" s="7" t="s">
        <v>49</v>
      </c>
      <c r="D30" s="7" t="s">
        <v>49</v>
      </c>
      <c r="E30" s="7" t="s">
        <v>49</v>
      </c>
      <c r="F30" s="7" t="s">
        <v>49</v>
      </c>
      <c r="G30" s="7" t="s">
        <v>49</v>
      </c>
      <c r="H30" s="186">
        <f>+'all others'!C21</f>
        <v>3699108</v>
      </c>
      <c r="I30" s="186">
        <f>+'all others'!D21</f>
        <v>3699108</v>
      </c>
      <c r="J30" s="186">
        <f>+'all others'!E21</f>
        <v>3699108</v>
      </c>
      <c r="K30" s="186">
        <f>+J30/4</f>
        <v>924777</v>
      </c>
      <c r="L30" s="186">
        <f>K30</f>
        <v>924777</v>
      </c>
      <c r="M30" s="186">
        <f>L30*3</f>
        <v>2774331</v>
      </c>
      <c r="N30" s="128">
        <f t="shared" si="5"/>
        <v>15721209</v>
      </c>
      <c r="O30" s="5"/>
      <c r="P30" s="6">
        <f>J30</f>
        <v>3699108</v>
      </c>
      <c r="Q30" s="6">
        <f>P30</f>
        <v>3699108</v>
      </c>
      <c r="R30" s="6">
        <f>Q30</f>
        <v>3699108</v>
      </c>
      <c r="S30" s="6">
        <f>R30</f>
        <v>3699108</v>
      </c>
      <c r="T30" s="6">
        <f>S30</f>
        <v>3699108</v>
      </c>
      <c r="U30" s="128">
        <f t="shared" si="4"/>
        <v>18495540</v>
      </c>
      <c r="V30" s="5"/>
    </row>
    <row r="31" spans="1:22" ht="57" customHeight="1" thickBot="1">
      <c r="A31" s="36" t="str">
        <f>+A11</f>
        <v>Demonstration Group 10 - MLTC Adult Age 18-64 Duals</v>
      </c>
      <c r="B31" s="5"/>
      <c r="C31" s="7"/>
      <c r="D31" s="7"/>
      <c r="E31" s="7"/>
      <c r="F31" s="7"/>
      <c r="G31" s="7"/>
      <c r="H31" s="7"/>
      <c r="I31" s="6">
        <f>IF(mltcflag=1,+BN_PMPM_MM!H40*BN_PMPM_MM!H69,0)</f>
        <v>249276514.8744</v>
      </c>
      <c r="J31" s="6">
        <f>IF(mltcflag=1,+BN_PMPM_MM!I40*BN_PMPM_MM!I69,0)</f>
        <v>999765437.4003999</v>
      </c>
      <c r="K31" s="6">
        <f>IF(mltcflag=1,+BN_PMPM_MM!J40*BN_PMPM_MM!J69,0)</f>
        <v>249927128.7461</v>
      </c>
      <c r="L31" s="6">
        <f>IF(mltcflag=1,+BN_PMPM_MM!K40*BN_PMPM_MM!K69,0)</f>
        <v>249927128.7461</v>
      </c>
      <c r="M31" s="7">
        <f>IF(mltcflag=1,+BN_PMPM_MM!L40*BN_PMPM_MM!L69,0)</f>
        <v>773248277.351935</v>
      </c>
      <c r="N31" s="128">
        <f t="shared" si="5"/>
        <v>2522144487.1189346</v>
      </c>
      <c r="O31" s="5"/>
      <c r="P31" s="6">
        <f>IF(mltcflag=1,+BN_PMPM_MM!N40*BN_PMPM_MM!N69,0)</f>
        <v>1162406668.479642</v>
      </c>
      <c r="Q31" s="6">
        <f>IF(mltcflag=1,+BN_PMPM_MM!O40*BN_PMPM_MM!O69,0)</f>
        <v>1388540835.99838</v>
      </c>
      <c r="R31" s="6">
        <f>IF(mltcflag=1,+BN_PMPM_MM!P40*BN_PMPM_MM!P69,0)</f>
        <v>1422903191.013952</v>
      </c>
      <c r="S31" s="6">
        <f>IF(mltcflag=1,+BN_PMPM_MM!Q40*BN_PMPM_MM!Q69,0)</f>
        <v>1480841722.514336</v>
      </c>
      <c r="T31" s="6">
        <f>IF(mltcflag=1,+BN_PMPM_MM!R40*BN_PMPM_MM!R69,0)</f>
        <v>1480841722.514336</v>
      </c>
      <c r="U31" s="128">
        <f t="shared" si="4"/>
        <v>6935534140.520645</v>
      </c>
      <c r="V31" s="5"/>
    </row>
    <row r="32" spans="1:22" ht="57" customHeight="1" thickBot="1">
      <c r="A32" s="36" t="str">
        <f>+A12</f>
        <v>Demonstration Group 11 - MLTC age 65+ Duals</v>
      </c>
      <c r="B32" s="5"/>
      <c r="C32" s="7"/>
      <c r="D32" s="7"/>
      <c r="E32" s="7"/>
      <c r="F32" s="7"/>
      <c r="G32" s="7"/>
      <c r="H32" s="7"/>
      <c r="I32" s="6">
        <f>IF(mltcflag=1,+BN_PMPM_MM!H42*BN_PMPM_MM!H71,0)</f>
        <v>2561508288.4582796</v>
      </c>
      <c r="J32" s="6">
        <f>IF(mltcflag=1,+BN_PMPM_MM!I42*BN_PMPM_MM!I71,0)</f>
        <v>10403512553.652401</v>
      </c>
      <c r="K32" s="6">
        <f>IF(mltcflag=1,+BN_PMPM_MM!J42*BN_PMPM_MM!J71,0)</f>
        <v>2629869735.6599</v>
      </c>
      <c r="L32" s="6">
        <f>IF(mltcflag=1,+BN_PMPM_MM!K42*BN_PMPM_MM!K71,0)</f>
        <v>2629869735.6599</v>
      </c>
      <c r="M32" s="7">
        <f>IF(mltcflag=1,+BN_PMPM_MM!L42*BN_PMPM_MM!L71,0)</f>
        <v>8187002770.280175</v>
      </c>
      <c r="N32" s="128">
        <f t="shared" si="5"/>
        <v>26411763083.710655</v>
      </c>
      <c r="O32" s="5"/>
      <c r="P32" s="6">
        <f>IF(mltcflag=1,+BN_PMPM_MM!N42*BN_PMPM_MM!N71,0)</f>
        <v>12429251623.28312</v>
      </c>
      <c r="Q32" s="6">
        <f>IF(mltcflag=1,+BN_PMPM_MM!O42*BN_PMPM_MM!O71,0)</f>
        <v>15118044458.539309</v>
      </c>
      <c r="R32" s="6">
        <f>IF(mltcflag=1,+BN_PMPM_MM!P42*BN_PMPM_MM!P71,0)</f>
        <v>15619482984.485191</v>
      </c>
      <c r="S32" s="6">
        <f>IF(mltcflag=1,+BN_PMPM_MM!Q42*BN_PMPM_MM!Q71,0)</f>
        <v>16358745503.93429</v>
      </c>
      <c r="T32" s="6">
        <f>IF(mltcflag=1,+BN_PMPM_MM!R42*BN_PMPM_MM!R71,0)</f>
        <v>16358745503.93429</v>
      </c>
      <c r="U32" s="128">
        <f t="shared" si="4"/>
        <v>75884270074.1762</v>
      </c>
      <c r="V32" s="5"/>
    </row>
    <row r="33" spans="1:22" ht="122.25" thickBot="1">
      <c r="A33" s="226" t="s">
        <v>204</v>
      </c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>
        <f>BN_PMPM_MM!L44*BN_PMPM_MM!L73</f>
        <v>5800497292.498917</v>
      </c>
      <c r="N33" s="128">
        <f t="shared" si="5"/>
        <v>5800497292.498917</v>
      </c>
      <c r="O33" s="5"/>
      <c r="P33" s="6">
        <f>BN_PMPM_MM!N44*BN_PMPM_MM!N73</f>
        <v>3951999753.553051</v>
      </c>
      <c r="Q33" s="6">
        <f>BN_PMPM_MM!O44*BN_PMPM_MM!O73</f>
        <v>3956791449.6797724</v>
      </c>
      <c r="R33" s="6">
        <f>BN_PMPM_MM!P44*BN_PMPM_MM!P73</f>
        <v>3816034807.5862947</v>
      </c>
      <c r="S33" s="6">
        <f>BN_PMPM_MM!Q44*BN_PMPM_MM!Q73</f>
        <v>3816034807.5862947</v>
      </c>
      <c r="T33" s="6">
        <f>BN_PMPM_MM!R44*BN_PMPM_MM!R73</f>
        <v>3816034807.5862947</v>
      </c>
      <c r="U33" s="128">
        <f t="shared" si="4"/>
        <v>19356895625.991707</v>
      </c>
      <c r="V33" s="5"/>
    </row>
    <row r="34" spans="1:22" ht="122.25" thickBot="1">
      <c r="A34" s="226" t="s">
        <v>205</v>
      </c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>
        <f>BN_PMPM_MM!L45*BN_PMPM_MM!L74</f>
        <v>2054061281.7950706</v>
      </c>
      <c r="N34" s="128">
        <f t="shared" si="5"/>
        <v>2054061281.7950706</v>
      </c>
      <c r="O34" s="5"/>
      <c r="P34" s="204">
        <f>BN_PMPM_MM!N45*BN_PMPM_MM!N74</f>
        <v>6053693622.837732</v>
      </c>
      <c r="Q34" s="204">
        <f>BN_PMPM_MM!O45*BN_PMPM_MM!O74</f>
        <v>6636646161.975715</v>
      </c>
      <c r="R34" s="204">
        <f>BN_PMPM_MM!P45*BN_PMPM_MM!P74</f>
        <v>7224046405.488365</v>
      </c>
      <c r="S34" s="204">
        <f>BN_PMPM_MM!Q45*BN_PMPM_MM!Q74</f>
        <v>7224046405.488365</v>
      </c>
      <c r="T34" s="204">
        <f>BN_PMPM_MM!R45*BN_PMPM_MM!R74</f>
        <v>7224046405.488365</v>
      </c>
      <c r="U34" s="128">
        <f t="shared" si="4"/>
        <v>34362479001.27854</v>
      </c>
      <c r="V34" s="5"/>
    </row>
    <row r="35" spans="1:22" ht="122.25" thickBot="1">
      <c r="A35" s="226" t="s">
        <v>207</v>
      </c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>
        <f>BN_PMPM_MM!L46*BN_PMPM_MM!L75</f>
        <v>333662996.7495752</v>
      </c>
      <c r="N35" s="128">
        <f t="shared" si="5"/>
        <v>333662996.7495752</v>
      </c>
      <c r="O35" s="5"/>
      <c r="P35" s="6">
        <f>BN_PMPM_MM!N46*BN_PMPM_MM!N75</f>
        <v>190609690.66432917</v>
      </c>
      <c r="Q35" s="6">
        <f>BN_PMPM_MM!O46*BN_PMPM_MM!O75</f>
        <v>194209851.364398</v>
      </c>
      <c r="R35" s="6">
        <f>BN_PMPM_MM!P46*BN_PMPM_MM!P75</f>
        <v>188661307.80777574</v>
      </c>
      <c r="S35" s="6">
        <f>BN_PMPM_MM!Q46*BN_PMPM_MM!Q75</f>
        <v>188661307.80777574</v>
      </c>
      <c r="T35" s="6">
        <f>BN_PMPM_MM!R46*BN_PMPM_MM!R75</f>
        <v>188661307.80777574</v>
      </c>
      <c r="U35" s="128">
        <f t="shared" si="4"/>
        <v>950803465.4520544</v>
      </c>
      <c r="V35" s="5"/>
    </row>
    <row r="36" spans="1:22" ht="122.25" thickBot="1">
      <c r="A36" s="226" t="s">
        <v>210</v>
      </c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>
        <f>BN_PMPM_MM!L47*BN_PMPM_MM!L76</f>
        <v>150888688.51216847</v>
      </c>
      <c r="N36" s="128">
        <f t="shared" si="5"/>
        <v>150888688.51216847</v>
      </c>
      <c r="O36" s="5"/>
      <c r="P36" s="6">
        <f>BN_PMPM_MM!N47*BN_PMPM_MM!N76</f>
        <v>444696513.9259143</v>
      </c>
      <c r="Q36" s="6">
        <f>BN_PMPM_MM!O47*BN_PMPM_MM!O76</f>
        <v>487519454.4462179</v>
      </c>
      <c r="R36" s="6">
        <f>BN_PMPM_MM!P47*BN_PMPM_MM!P76</f>
        <v>530669117.58474714</v>
      </c>
      <c r="S36" s="6">
        <f>BN_PMPM_MM!Q47*BN_PMPM_MM!Q76</f>
        <v>530669117.58474714</v>
      </c>
      <c r="T36" s="6">
        <f>BN_PMPM_MM!R47*BN_PMPM_MM!R76</f>
        <v>530669117.58474714</v>
      </c>
      <c r="U36" s="128">
        <f t="shared" si="4"/>
        <v>2524223321.126374</v>
      </c>
      <c r="V36" s="5"/>
    </row>
    <row r="37" spans="1:22" ht="57" customHeight="1" thickBot="1">
      <c r="A37" s="226" t="s">
        <v>208</v>
      </c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f>BN_PMPM_MM!L48*BN_PMPM_MM!L77</f>
        <v>221887579.24</v>
      </c>
      <c r="N37" s="128">
        <f t="shared" si="5"/>
        <v>221887579.24</v>
      </c>
      <c r="O37" s="5"/>
      <c r="P37" s="6">
        <f>BN_PMPM_MM!N48*BN_PMPM_MM!N77</f>
        <v>321593199.3</v>
      </c>
      <c r="Q37" s="6">
        <f>BN_PMPM_MM!O48*BN_PMPM_MM!O77</f>
        <v>347683789.11499995</v>
      </c>
      <c r="R37" s="6">
        <f>BN_PMPM_MM!P48*BN_PMPM_MM!P77</f>
        <v>374311550.60999995</v>
      </c>
      <c r="S37" s="6">
        <f>BN_PMPM_MM!Q48*BN_PMPM_MM!Q77</f>
        <v>374311550.60999995</v>
      </c>
      <c r="T37" s="6">
        <f>BN_PMPM_MM!R48*BN_PMPM_MM!R77</f>
        <v>374311550.60999995</v>
      </c>
      <c r="U37" s="128">
        <f t="shared" si="4"/>
        <v>1792211640.2449996</v>
      </c>
      <c r="V37" s="5"/>
    </row>
    <row r="38" spans="1:22" ht="57" customHeight="1" thickBot="1">
      <c r="A38" s="226" t="s">
        <v>211</v>
      </c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>
        <f>BN_PMPM_MM!L49*BN_PMPM_MM!L78</f>
        <v>59275662.78</v>
      </c>
      <c r="N38" s="128">
        <f t="shared" si="5"/>
        <v>59275662.78</v>
      </c>
      <c r="O38" s="5"/>
      <c r="P38" s="6">
        <f>BN_PMPM_MM!N49*BN_PMPM_MM!N78</f>
        <v>85894211.375</v>
      </c>
      <c r="Q38" s="6">
        <f>BN_PMPM_MM!O49*BN_PMPM_MM!O78</f>
        <v>92861786.16</v>
      </c>
      <c r="R38" s="6">
        <f>BN_PMPM_MM!P49*BN_PMPM_MM!P78</f>
        <v>99996823.8</v>
      </c>
      <c r="S38" s="6">
        <f>BN_PMPM_MM!Q49*BN_PMPM_MM!Q78</f>
        <v>99996823.8</v>
      </c>
      <c r="T38" s="6">
        <f>BN_PMPM_MM!R49*BN_PMPM_MM!R78</f>
        <v>99996823.8</v>
      </c>
      <c r="U38" s="128">
        <f t="shared" si="4"/>
        <v>478746468.935</v>
      </c>
      <c r="V38" s="5"/>
    </row>
    <row r="39" spans="1:22" ht="57" customHeight="1" thickBot="1">
      <c r="A39" s="36" t="s">
        <v>200</v>
      </c>
      <c r="B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28">
        <f t="shared" si="5"/>
        <v>0</v>
      </c>
      <c r="O39" s="5"/>
      <c r="P39" s="6"/>
      <c r="Q39" s="6"/>
      <c r="R39" s="6"/>
      <c r="S39" s="6"/>
      <c r="T39" s="6"/>
      <c r="U39" s="128">
        <f t="shared" si="4"/>
        <v>0</v>
      </c>
      <c r="V39" s="5"/>
    </row>
    <row r="40" spans="1:22" ht="57" customHeight="1" thickBot="1">
      <c r="A40" s="36" t="s">
        <v>199</v>
      </c>
      <c r="B40" s="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28">
        <f t="shared" si="5"/>
        <v>0</v>
      </c>
      <c r="O40" s="5"/>
      <c r="P40" s="6"/>
      <c r="Q40" s="6"/>
      <c r="R40" s="6"/>
      <c r="S40" s="6"/>
      <c r="T40" s="6"/>
      <c r="U40" s="128">
        <f t="shared" si="4"/>
        <v>0</v>
      </c>
      <c r="V40" s="5"/>
    </row>
    <row r="41" spans="1:22" ht="61.5" thickBot="1">
      <c r="A41" s="107" t="s">
        <v>59</v>
      </c>
      <c r="B41" s="5"/>
      <c r="C41" s="7"/>
      <c r="D41" s="7"/>
      <c r="E41" s="7"/>
      <c r="F41" s="7"/>
      <c r="G41" s="7"/>
      <c r="H41" s="7">
        <v>2600000</v>
      </c>
      <c r="I41" s="7">
        <v>14650000</v>
      </c>
      <c r="J41" s="7">
        <v>13700000</v>
      </c>
      <c r="K41" s="131">
        <v>3400000</v>
      </c>
      <c r="L41" s="7"/>
      <c r="M41" s="7"/>
      <c r="N41" s="128">
        <f t="shared" si="5"/>
        <v>34350000</v>
      </c>
      <c r="O41" s="5"/>
      <c r="P41" s="6"/>
      <c r="Q41" s="6"/>
      <c r="R41" s="6"/>
      <c r="S41" s="6"/>
      <c r="T41" s="6"/>
      <c r="U41" s="128">
        <f t="shared" si="4"/>
        <v>0</v>
      </c>
      <c r="V41" s="5"/>
    </row>
    <row r="42" spans="1:22" ht="81.75" thickBot="1">
      <c r="A42" s="107" t="s">
        <v>60</v>
      </c>
      <c r="B42" s="5"/>
      <c r="C42" s="7"/>
      <c r="D42" s="7"/>
      <c r="E42" s="7"/>
      <c r="F42" s="7"/>
      <c r="G42" s="7"/>
      <c r="H42" s="7">
        <v>2600000</v>
      </c>
      <c r="I42" s="7">
        <v>10583333.333333334</v>
      </c>
      <c r="J42" s="131">
        <v>10583333.3333333</v>
      </c>
      <c r="K42" s="131">
        <f>10583333.3333333/4</f>
        <v>2645833.333333325</v>
      </c>
      <c r="L42" s="131">
        <f>10583333.3333333/4</f>
        <v>2645833.333333325</v>
      </c>
      <c r="M42" s="131">
        <f>10583333.3333333/2+40500000</f>
        <v>45791666.66666665</v>
      </c>
      <c r="N42" s="128">
        <f t="shared" si="5"/>
        <v>74849999.99999994</v>
      </c>
      <c r="O42" s="5"/>
      <c r="P42" s="6"/>
      <c r="Q42" s="6"/>
      <c r="R42" s="6"/>
      <c r="S42" s="6"/>
      <c r="T42" s="6"/>
      <c r="U42" s="128">
        <f t="shared" si="4"/>
        <v>0</v>
      </c>
      <c r="V42" s="5"/>
    </row>
    <row r="43" spans="1:22" ht="81.75" thickBot="1">
      <c r="A43" s="107" t="s">
        <v>61</v>
      </c>
      <c r="B43" s="5"/>
      <c r="C43" s="7"/>
      <c r="D43" s="7"/>
      <c r="E43" s="7"/>
      <c r="F43" s="7"/>
      <c r="G43" s="7"/>
      <c r="H43" s="7">
        <v>0</v>
      </c>
      <c r="I43" s="7">
        <v>100000000</v>
      </c>
      <c r="J43" s="7">
        <v>100000000</v>
      </c>
      <c r="K43" s="131">
        <v>25000000</v>
      </c>
      <c r="L43" s="7">
        <v>25000000</v>
      </c>
      <c r="M43" s="7">
        <v>50000000</v>
      </c>
      <c r="N43" s="128">
        <f t="shared" si="5"/>
        <v>300000000</v>
      </c>
      <c r="O43" s="5"/>
      <c r="P43" s="6"/>
      <c r="Q43" s="6"/>
      <c r="R43" s="6"/>
      <c r="S43" s="6"/>
      <c r="T43" s="6"/>
      <c r="U43" s="128">
        <f t="shared" si="4"/>
        <v>0</v>
      </c>
      <c r="V43" s="5"/>
    </row>
    <row r="44" spans="1:22" ht="102" thickBot="1">
      <c r="A44" s="107" t="s">
        <v>62</v>
      </c>
      <c r="B44" s="5"/>
      <c r="C44" s="7"/>
      <c r="D44" s="7"/>
      <c r="E44" s="7"/>
      <c r="F44" s="7"/>
      <c r="G44" s="7"/>
      <c r="H44" s="7">
        <v>0</v>
      </c>
      <c r="I44" s="7">
        <f>13300000/3</f>
        <v>4433333.333333333</v>
      </c>
      <c r="J44" s="7">
        <f>13300000/3</f>
        <v>4433333.333333333</v>
      </c>
      <c r="K44" s="7">
        <f>13300000/12</f>
        <v>1108333.3333333333</v>
      </c>
      <c r="L44" s="7">
        <f>13300000/12</f>
        <v>1108333.3333333333</v>
      </c>
      <c r="M44" s="7">
        <f>13300000/6</f>
        <v>2216666.6666666665</v>
      </c>
      <c r="N44" s="128">
        <f t="shared" si="5"/>
        <v>13300000</v>
      </c>
      <c r="O44" s="5"/>
      <c r="P44" s="6"/>
      <c r="Q44" s="6"/>
      <c r="R44" s="6"/>
      <c r="S44" s="6"/>
      <c r="T44" s="6"/>
      <c r="U44" s="128">
        <f t="shared" si="4"/>
        <v>0</v>
      </c>
      <c r="V44" s="5"/>
    </row>
    <row r="45" spans="1:22" ht="61.5" thickBot="1">
      <c r="A45" s="107" t="s">
        <v>71</v>
      </c>
      <c r="B45" s="5"/>
      <c r="C45" s="6"/>
      <c r="D45" s="6"/>
      <c r="E45" s="6"/>
      <c r="F45" s="6"/>
      <c r="G45" s="6"/>
      <c r="H45" s="6"/>
      <c r="I45" s="6"/>
      <c r="J45" s="6"/>
      <c r="K45" s="6">
        <v>100000000</v>
      </c>
      <c r="L45" s="6">
        <f>+K45</f>
        <v>100000000</v>
      </c>
      <c r="M45" s="6">
        <v>300000000</v>
      </c>
      <c r="N45" s="128">
        <f t="shared" si="5"/>
        <v>500000000</v>
      </c>
      <c r="O45" s="5"/>
      <c r="P45" s="6"/>
      <c r="Q45" s="6"/>
      <c r="R45" s="6"/>
      <c r="S45" s="6"/>
      <c r="T45" s="6"/>
      <c r="U45" s="128">
        <f t="shared" si="4"/>
        <v>0</v>
      </c>
      <c r="V45" s="5"/>
    </row>
    <row r="46" spans="1:22" ht="42.75" customHeight="1" thickBot="1">
      <c r="A46" s="129" t="s">
        <v>198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v>500000000</v>
      </c>
      <c r="N46" s="128">
        <f t="shared" si="5"/>
        <v>500000000</v>
      </c>
      <c r="O46" s="5"/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28">
        <f t="shared" si="4"/>
        <v>0</v>
      </c>
      <c r="V46" s="5"/>
    </row>
    <row r="47" spans="1:22" ht="42.75" customHeight="1" thickBot="1">
      <c r="A47" s="129" t="s">
        <v>98</v>
      </c>
      <c r="B47" s="5"/>
      <c r="C47" s="6"/>
      <c r="D47" s="6"/>
      <c r="E47" s="6"/>
      <c r="F47" s="6"/>
      <c r="G47" s="6"/>
      <c r="H47" s="6"/>
      <c r="I47" s="6"/>
      <c r="J47" s="6"/>
      <c r="K47" s="6"/>
      <c r="L47" s="6">
        <f>'2014 DSHP estimates'!D21</f>
        <v>363417732</v>
      </c>
      <c r="M47" s="6">
        <f>'2014 DSHP estimates'!D22</f>
        <v>635987007</v>
      </c>
      <c r="N47" s="128">
        <f t="shared" si="5"/>
        <v>999404739</v>
      </c>
      <c r="O47" s="5"/>
      <c r="P47" s="6"/>
      <c r="Q47" s="6"/>
      <c r="R47" s="6"/>
      <c r="S47" s="6"/>
      <c r="T47" s="6"/>
      <c r="U47" s="128">
        <f t="shared" si="4"/>
        <v>0</v>
      </c>
      <c r="V47" s="5"/>
    </row>
    <row r="48" spans="1:22" ht="42.75" customHeight="1" thickBot="1">
      <c r="A48" s="129" t="s">
        <v>99</v>
      </c>
      <c r="B48" s="5"/>
      <c r="C48" s="6"/>
      <c r="D48" s="6"/>
      <c r="E48" s="6"/>
      <c r="F48" s="6"/>
      <c r="G48" s="6"/>
      <c r="H48" s="6"/>
      <c r="I48" s="6"/>
      <c r="J48" s="6"/>
      <c r="K48" s="6"/>
      <c r="L48" s="6">
        <f>'2014 DSHP estimates'!D45</f>
        <v>7000800</v>
      </c>
      <c r="M48" s="6">
        <f>'2014 DSHP estimates'!D46</f>
        <v>84009600</v>
      </c>
      <c r="N48" s="128">
        <f t="shared" si="5"/>
        <v>91010400</v>
      </c>
      <c r="O48" s="5"/>
      <c r="P48" s="133">
        <f>'2014 DSHP estimates'!E65</f>
        <v>183170000</v>
      </c>
      <c r="Q48" s="133">
        <f>'2014 DSHP estimates'!E84</f>
        <v>0</v>
      </c>
      <c r="R48" s="133">
        <f>'2014 DSHP estimates'!E103</f>
        <v>0</v>
      </c>
      <c r="S48" s="133">
        <f>'2014 DSHP estimates'!E122</f>
        <v>0</v>
      </c>
      <c r="T48" s="133">
        <f>'2014 DSHP estimates'!E141</f>
        <v>0</v>
      </c>
      <c r="U48" s="128">
        <f t="shared" si="4"/>
        <v>183170000</v>
      </c>
      <c r="V48" s="5"/>
    </row>
    <row r="49" spans="1:22" ht="42.75" customHeight="1" thickBot="1">
      <c r="A49" s="129" t="s">
        <v>101</v>
      </c>
      <c r="B49" s="5"/>
      <c r="C49" s="6"/>
      <c r="D49" s="6"/>
      <c r="E49" s="6"/>
      <c r="F49" s="6"/>
      <c r="G49" s="6"/>
      <c r="H49" s="6"/>
      <c r="I49" s="6"/>
      <c r="J49" s="6"/>
      <c r="K49" s="6"/>
      <c r="L49" s="133"/>
      <c r="M49" s="133">
        <f>188000000*2</f>
        <v>376000000</v>
      </c>
      <c r="N49" s="128">
        <f t="shared" si="5"/>
        <v>376000000</v>
      </c>
      <c r="O49" s="5"/>
      <c r="P49" s="133">
        <f>345400000*2</f>
        <v>690800000</v>
      </c>
      <c r="Q49" s="133">
        <f>476600000*2</f>
        <v>953200000</v>
      </c>
      <c r="R49" s="133">
        <f>467800000*2</f>
        <v>935600000</v>
      </c>
      <c r="S49" s="133">
        <f>343500000*2</f>
        <v>687000000</v>
      </c>
      <c r="T49" s="133">
        <f>178700000*2</f>
        <v>357400000</v>
      </c>
      <c r="U49" s="128">
        <f>SUM(P49:T49)</f>
        <v>3624000000</v>
      </c>
      <c r="V49" s="5"/>
    </row>
    <row r="50" spans="1:22" ht="42.75" customHeight="1" thickBot="1">
      <c r="A50" s="129" t="s">
        <v>102</v>
      </c>
      <c r="B50" s="5"/>
      <c r="C50" s="6"/>
      <c r="D50" s="6"/>
      <c r="E50" s="6"/>
      <c r="F50" s="6"/>
      <c r="G50" s="6"/>
      <c r="H50" s="6"/>
      <c r="I50" s="6"/>
      <c r="J50" s="6"/>
      <c r="K50" s="6"/>
      <c r="L50" s="133"/>
      <c r="M50" s="133">
        <v>24000000</v>
      </c>
      <c r="N50" s="128">
        <f t="shared" si="5"/>
        <v>24000000</v>
      </c>
      <c r="O50" s="5"/>
      <c r="P50" s="133">
        <f>1756000000-P55</f>
        <v>1556000000</v>
      </c>
      <c r="Q50" s="133">
        <f>1866000000-Q55</f>
        <v>1374200000</v>
      </c>
      <c r="R50" s="133">
        <f>2964000000-R55</f>
        <v>2564000000</v>
      </c>
      <c r="S50" s="133">
        <f>2634000000-S55</f>
        <v>2434000000</v>
      </c>
      <c r="T50" s="133">
        <f>1756000000</f>
        <v>1756000000</v>
      </c>
      <c r="U50" s="128">
        <f t="shared" si="4"/>
        <v>9684200000</v>
      </c>
      <c r="V50" s="5"/>
    </row>
    <row r="51" spans="1:22" ht="42.75" customHeight="1" thickBot="1">
      <c r="A51" s="129" t="s">
        <v>103</v>
      </c>
      <c r="B51" s="5"/>
      <c r="C51" s="7"/>
      <c r="D51" s="7"/>
      <c r="E51" s="7"/>
      <c r="F51" s="7"/>
      <c r="G51" s="7"/>
      <c r="H51" s="7"/>
      <c r="I51" s="7"/>
      <c r="J51" s="7"/>
      <c r="K51" s="7"/>
      <c r="L51" s="186"/>
      <c r="M51" s="186">
        <f>500000000*2</f>
        <v>1000000000</v>
      </c>
      <c r="N51" s="128">
        <f>SUM(C51:M51)</f>
        <v>1000000000</v>
      </c>
      <c r="O51" s="5"/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28">
        <f>SUM(P51:T51)</f>
        <v>0</v>
      </c>
      <c r="V51" s="5"/>
    </row>
    <row r="52" spans="1:22" ht="42.75" customHeight="1" thickBot="1">
      <c r="A52" s="129" t="s">
        <v>216</v>
      </c>
      <c r="B52" s="5"/>
      <c r="C52" s="7"/>
      <c r="D52" s="7"/>
      <c r="E52" s="7"/>
      <c r="F52" s="7"/>
      <c r="G52" s="7"/>
      <c r="H52" s="7"/>
      <c r="I52" s="7"/>
      <c r="J52" s="7"/>
      <c r="K52" s="7"/>
      <c r="L52" s="186"/>
      <c r="M52" s="186"/>
      <c r="N52" s="128">
        <f>SUM(C52:M52)</f>
        <v>0</v>
      </c>
      <c r="O52" s="5"/>
      <c r="P52" s="133">
        <v>882631.4587114935</v>
      </c>
      <c r="Q52" s="133">
        <v>1878239.7441380583</v>
      </c>
      <c r="R52" s="133">
        <v>1998447.087762894</v>
      </c>
      <c r="S52" s="133">
        <v>2126347.701379719</v>
      </c>
      <c r="T52" s="133">
        <v>2262433.95426802</v>
      </c>
      <c r="U52" s="128">
        <f>SUM(P52:T52)</f>
        <v>9148099.946260186</v>
      </c>
      <c r="V52" s="5"/>
    </row>
    <row r="53" spans="1:22" ht="42.75" customHeight="1" thickBot="1">
      <c r="A53" s="129" t="s">
        <v>215</v>
      </c>
      <c r="B53" s="5"/>
      <c r="C53" s="7"/>
      <c r="D53" s="7"/>
      <c r="E53" s="7"/>
      <c r="F53" s="7"/>
      <c r="G53" s="7"/>
      <c r="H53" s="7"/>
      <c r="I53" s="7"/>
      <c r="J53" s="7"/>
      <c r="K53" s="7"/>
      <c r="L53" s="186"/>
      <c r="M53" s="186"/>
      <c r="N53" s="128">
        <f>SUM(C53:M53)</f>
        <v>0</v>
      </c>
      <c r="O53" s="5"/>
      <c r="P53" s="133">
        <v>918894624.9812084</v>
      </c>
      <c r="Q53" s="133">
        <v>983217484.7416533</v>
      </c>
      <c r="R53" s="133">
        <v>1052042805.2238346</v>
      </c>
      <c r="S53" s="133">
        <v>1052042805.2238346</v>
      </c>
      <c r="T53" s="133">
        <v>1052042805.2238346</v>
      </c>
      <c r="U53" s="128">
        <f t="shared" si="4"/>
        <v>5058240525.394365</v>
      </c>
      <c r="V53" s="5"/>
    </row>
    <row r="54" spans="1:22" ht="42.75" customHeight="1" thickBot="1">
      <c r="A54" s="129" t="s">
        <v>214</v>
      </c>
      <c r="B54" s="5"/>
      <c r="C54" s="7"/>
      <c r="D54" s="7"/>
      <c r="E54" s="7"/>
      <c r="F54" s="7"/>
      <c r="G54" s="7"/>
      <c r="H54" s="7"/>
      <c r="I54" s="7"/>
      <c r="J54" s="7"/>
      <c r="K54" s="7"/>
      <c r="L54" s="186"/>
      <c r="M54" s="186"/>
      <c r="N54" s="128">
        <f>SUM(C54:M54)</f>
        <v>0</v>
      </c>
      <c r="O54" s="5"/>
      <c r="P54" s="133">
        <v>122726316.45135197</v>
      </c>
      <c r="Q54" s="133">
        <f>130772527.052964/2</f>
        <v>65386263.526482</v>
      </c>
      <c r="R54" s="133"/>
      <c r="S54" s="133"/>
      <c r="T54" s="133"/>
      <c r="U54" s="128">
        <f>SUM(P54:T54)</f>
        <v>188112579.977834</v>
      </c>
      <c r="V54" s="5"/>
    </row>
    <row r="55" spans="1:22" ht="42.75" customHeight="1" thickBot="1">
      <c r="A55" s="129" t="s">
        <v>201</v>
      </c>
      <c r="B55" s="5"/>
      <c r="C55" s="132"/>
      <c r="D55" s="132"/>
      <c r="E55" s="132"/>
      <c r="F55" s="132"/>
      <c r="G55" s="132"/>
      <c r="H55" s="132"/>
      <c r="I55" s="132"/>
      <c r="J55" s="132"/>
      <c r="K55" s="132"/>
      <c r="L55" s="134"/>
      <c r="M55" s="134"/>
      <c r="N55" s="128">
        <f>SUM(C55:M55)</f>
        <v>0</v>
      </c>
      <c r="O55" s="8"/>
      <c r="P55" s="134">
        <v>200000000</v>
      </c>
      <c r="Q55" s="134">
        <v>491800000</v>
      </c>
      <c r="R55" s="134">
        <v>400000000</v>
      </c>
      <c r="S55" s="134">
        <v>200000000</v>
      </c>
      <c r="T55" s="134">
        <v>397200000</v>
      </c>
      <c r="U55" s="128">
        <f t="shared" si="4"/>
        <v>1689000000</v>
      </c>
      <c r="V55" s="5"/>
    </row>
    <row r="56" spans="1:22" ht="43.5" customHeight="1" thickBot="1">
      <c r="A56" s="37" t="s">
        <v>5</v>
      </c>
      <c r="B56" s="9">
        <v>123931127812</v>
      </c>
      <c r="C56" s="9">
        <f aca="true" t="shared" si="6" ref="C56:K56">SUM(C22:C45)</f>
        <v>10499291131.764753</v>
      </c>
      <c r="D56" s="9">
        <f t="shared" si="6"/>
        <v>11309400341.393333</v>
      </c>
      <c r="E56" s="9">
        <f t="shared" si="6"/>
        <v>12518840866.617777</v>
      </c>
      <c r="F56" s="9">
        <f t="shared" si="6"/>
        <v>12722773999.482224</v>
      </c>
      <c r="G56" s="9">
        <f t="shared" si="6"/>
        <v>5514630727.9777775</v>
      </c>
      <c r="H56" s="9">
        <f t="shared" si="6"/>
        <v>7919839230.4748535</v>
      </c>
      <c r="I56" s="9">
        <f t="shared" si="6"/>
        <v>21122103932.989525</v>
      </c>
      <c r="J56" s="9">
        <f t="shared" si="6"/>
        <v>32179033162.953754</v>
      </c>
      <c r="K56" s="9">
        <f t="shared" si="6"/>
        <v>8555529317.180929</v>
      </c>
      <c r="L56" s="9">
        <f>SUM(L22:L55)</f>
        <v>6239732376.078621</v>
      </c>
      <c r="M56" s="9">
        <f>SUM(M22:M55)</f>
        <v>29576994441.581654</v>
      </c>
      <c r="N56" s="9">
        <f>SUM(N22:N55)</f>
        <v>158158169528.4952</v>
      </c>
      <c r="O56" s="9">
        <f>+N56+B56</f>
        <v>282089297340.49524</v>
      </c>
      <c r="P56" s="9">
        <f aca="true" t="shared" si="7" ref="P56:U56">SUM(P22:P55)</f>
        <v>40379740911.02121</v>
      </c>
      <c r="Q56" s="9">
        <f t="shared" si="7"/>
        <v>44950008976.25348</v>
      </c>
      <c r="R56" s="9">
        <f t="shared" si="7"/>
        <v>47958652954.20273</v>
      </c>
      <c r="S56" s="9">
        <f t="shared" si="7"/>
        <v>49218463756.69959</v>
      </c>
      <c r="T56" s="9">
        <f t="shared" si="7"/>
        <v>48408199842.952484</v>
      </c>
      <c r="U56" s="9">
        <f t="shared" si="7"/>
        <v>230915066441.1295</v>
      </c>
      <c r="V56" s="9">
        <f>O56+U56</f>
        <v>513004363781.62476</v>
      </c>
    </row>
    <row r="57" spans="1:22" ht="36" customHeight="1" thickBot="1">
      <c r="A57" s="23" t="s">
        <v>6</v>
      </c>
      <c r="B57" s="9">
        <f aca="true" t="shared" si="8" ref="B57:V57">+B19-B56</f>
        <v>20708750710.772003</v>
      </c>
      <c r="C57" s="9">
        <f t="shared" si="8"/>
        <v>2879703757.6952457</v>
      </c>
      <c r="D57" s="9">
        <f t="shared" si="8"/>
        <v>2808034445.2666664</v>
      </c>
      <c r="E57" s="9">
        <f t="shared" si="8"/>
        <v>3132378918.662224</v>
      </c>
      <c r="F57" s="9">
        <f t="shared" si="8"/>
        <v>4879875986.978157</v>
      </c>
      <c r="G57" s="9">
        <f t="shared" si="8"/>
        <v>4101464547.292223</v>
      </c>
      <c r="H57" s="9">
        <f t="shared" si="8"/>
        <v>1708814629.260147</v>
      </c>
      <c r="I57" s="9">
        <f t="shared" si="8"/>
        <v>2825095466.780472</v>
      </c>
      <c r="J57" s="9">
        <f t="shared" si="8"/>
        <v>3070733164.779583</v>
      </c>
      <c r="K57" s="9">
        <f t="shared" si="8"/>
        <v>781192261.1390705</v>
      </c>
      <c r="L57" s="9">
        <f t="shared" si="8"/>
        <v>2372331160.241379</v>
      </c>
      <c r="M57" s="9">
        <f t="shared" si="8"/>
        <v>7876161506.653355</v>
      </c>
      <c r="N57" s="9">
        <f t="shared" si="8"/>
        <v>36435785844.748535</v>
      </c>
      <c r="O57" s="9">
        <f t="shared" si="8"/>
        <v>57144536555.52051</v>
      </c>
      <c r="P57" s="9">
        <f t="shared" si="8"/>
        <v>13621242086.578789</v>
      </c>
      <c r="Q57" s="9">
        <f t="shared" si="8"/>
        <v>14548827068.54152</v>
      </c>
      <c r="R57" s="9">
        <f t="shared" si="8"/>
        <v>14860709970.978943</v>
      </c>
      <c r="S57" s="9">
        <f t="shared" si="8"/>
        <v>17032796034.227081</v>
      </c>
      <c r="T57" s="9">
        <f t="shared" si="8"/>
        <v>21460807627.414185</v>
      </c>
      <c r="U57" s="9">
        <f t="shared" si="8"/>
        <v>81524382787.74051</v>
      </c>
      <c r="V57" s="9">
        <f t="shared" si="8"/>
        <v>138668919343.261</v>
      </c>
    </row>
    <row r="58" ht="20.25">
      <c r="A58" s="38"/>
    </row>
    <row r="59" spans="1:21" ht="54" customHeight="1">
      <c r="A59" s="235" t="s">
        <v>213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U59" s="231"/>
    </row>
    <row r="60" spans="2:6" ht="12.75">
      <c r="B60" s="20"/>
      <c r="C60" s="20"/>
      <c r="D60" s="20"/>
      <c r="E60" s="20"/>
      <c r="F60" s="20"/>
    </row>
    <row r="61" spans="2:21" ht="12.75">
      <c r="B61" s="20"/>
      <c r="C61" s="20"/>
      <c r="D61" s="20"/>
      <c r="E61" s="20"/>
      <c r="F61" s="20"/>
      <c r="P61" s="27"/>
      <c r="Q61" s="27"/>
      <c r="R61" s="27"/>
      <c r="S61" s="27"/>
      <c r="T61" s="27"/>
      <c r="U61" s="27"/>
    </row>
    <row r="62" spans="1:21" ht="23.25">
      <c r="A62" s="234"/>
      <c r="B62" s="20"/>
      <c r="C62" s="20"/>
      <c r="D62" s="20"/>
      <c r="E62" s="20"/>
      <c r="F62" s="20"/>
      <c r="M62" s="233"/>
      <c r="N62" s="231"/>
      <c r="O62" s="232"/>
      <c r="P62" s="233"/>
      <c r="Q62" s="233"/>
      <c r="R62" s="233"/>
      <c r="S62" s="233"/>
      <c r="T62" s="233"/>
      <c r="U62" s="202"/>
    </row>
    <row r="63" spans="2:21" ht="20.25">
      <c r="B63" s="20"/>
      <c r="C63" s="20"/>
      <c r="D63" s="228"/>
      <c r="E63" s="20"/>
      <c r="F63" s="20"/>
      <c r="P63" s="202"/>
      <c r="Q63" s="202"/>
      <c r="R63" s="202"/>
      <c r="S63" s="202"/>
      <c r="T63" s="202"/>
      <c r="U63" s="202"/>
    </row>
    <row r="64" spans="2:21" ht="20.25">
      <c r="B64" s="20"/>
      <c r="C64" s="20"/>
      <c r="D64" s="227"/>
      <c r="E64" s="20"/>
      <c r="F64" s="20"/>
      <c r="P64" s="203"/>
      <c r="Q64" s="203"/>
      <c r="R64" s="203"/>
      <c r="S64" s="203"/>
      <c r="T64" s="203"/>
      <c r="U64" s="203"/>
    </row>
    <row r="65" spans="2:21" ht="20.25">
      <c r="B65" s="20"/>
      <c r="C65" s="20"/>
      <c r="D65" s="227"/>
      <c r="E65" s="20"/>
      <c r="F65" s="20"/>
      <c r="P65" s="15"/>
      <c r="Q65" s="15"/>
      <c r="R65" s="15"/>
      <c r="S65" s="15"/>
      <c r="T65" s="15"/>
      <c r="U65" s="15"/>
    </row>
    <row r="66" spans="1:6" ht="20.25">
      <c r="A66" s="227"/>
      <c r="B66" s="20"/>
      <c r="C66" s="20"/>
      <c r="D66" s="20"/>
      <c r="E66" s="20"/>
      <c r="F66" s="20"/>
    </row>
    <row r="67" spans="2:6" ht="12.75">
      <c r="B67" s="20"/>
      <c r="C67" s="20"/>
      <c r="D67" s="20"/>
      <c r="E67" s="20"/>
      <c r="F67" s="20"/>
    </row>
    <row r="68" spans="2:22" ht="12.75">
      <c r="B68" s="20"/>
      <c r="C68" s="20"/>
      <c r="D68" s="20"/>
      <c r="E68" s="20"/>
      <c r="F68" s="20"/>
      <c r="V68" s="27"/>
    </row>
    <row r="69" spans="2:6" ht="12.75">
      <c r="B69" s="20"/>
      <c r="C69" s="20"/>
      <c r="D69" s="20"/>
      <c r="E69" s="20"/>
      <c r="F69" s="20"/>
    </row>
    <row r="70" spans="2:6" ht="12.75">
      <c r="B70" s="20"/>
      <c r="C70" s="20"/>
      <c r="D70" s="20"/>
      <c r="E70" s="20"/>
      <c r="F70" s="20"/>
    </row>
    <row r="71" spans="2:6" ht="12.75">
      <c r="B71" s="20"/>
      <c r="C71" s="20"/>
      <c r="D71" s="20"/>
      <c r="E71" s="20"/>
      <c r="F71" s="20"/>
    </row>
  </sheetData>
  <sheetProtection/>
  <printOptions horizontalCentered="1"/>
  <pageMargins left="0" right="0" top="0.5" bottom="0.5" header="0.5" footer="0.1"/>
  <pageSetup fitToHeight="0" horizontalDpi="600" verticalDpi="600" orientation="portrait" scale="35" r:id="rId1"/>
  <headerFooter alignWithMargins="0">
    <oddFooter>&amp;L&amp;"Arial,Bold"&amp;14&amp;Z&amp;F&amp;R&amp;"Arial,Bold"&amp;14&amp;D</oddFooter>
  </headerFooter>
  <colBreaks count="2" manualBreakCount="2">
    <brk id="7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zoomScale="75" zoomScaleNormal="75" zoomScalePageLayoutView="0" workbookViewId="0" topLeftCell="A2">
      <selection activeCell="N21" sqref="N21"/>
    </sheetView>
  </sheetViews>
  <sheetFormatPr defaultColWidth="9.140625" defaultRowHeight="12.75"/>
  <cols>
    <col min="1" max="1" width="54.28125" style="0" customWidth="1"/>
    <col min="2" max="4" width="14.421875" style="0" customWidth="1"/>
    <col min="5" max="5" width="14.140625" style="0" customWidth="1"/>
    <col min="6" max="6" width="13.8515625" style="0" customWidth="1"/>
    <col min="7" max="7" width="15.421875" style="0" customWidth="1"/>
    <col min="8" max="8" width="15.00390625" style="0" customWidth="1"/>
    <col min="9" max="9" width="14.8515625" style="0" customWidth="1"/>
    <col min="10" max="12" width="15.57421875" style="0" customWidth="1"/>
    <col min="13" max="13" width="2.00390625" style="0" bestFit="1" customWidth="1"/>
    <col min="14" max="18" width="15.57421875" style="0" customWidth="1"/>
  </cols>
  <sheetData>
    <row r="1" spans="1:18" ht="22.5" customHeight="1" hidden="1">
      <c r="A1" s="21" t="s">
        <v>72</v>
      </c>
      <c r="B1" s="21"/>
      <c r="C1" s="21"/>
      <c r="D1" s="21"/>
      <c r="E1" s="21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</row>
    <row r="2" spans="1:18" ht="23.25">
      <c r="A2" s="21" t="s">
        <v>0</v>
      </c>
      <c r="B2" s="21"/>
      <c r="C2" s="21"/>
      <c r="D2" s="21"/>
      <c r="E2" s="2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>
      <c r="A3" s="21" t="s">
        <v>19</v>
      </c>
      <c r="B3" s="21"/>
      <c r="C3" s="21"/>
      <c r="D3" s="21"/>
      <c r="E3" s="2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0.25">
      <c r="A5" s="25" t="s">
        <v>9</v>
      </c>
      <c r="B5" s="25"/>
      <c r="C5" s="25"/>
      <c r="D5" s="25"/>
      <c r="E5" s="25"/>
      <c r="F5" s="25"/>
      <c r="G5" s="10"/>
      <c r="H5" s="26"/>
      <c r="I5" s="26"/>
      <c r="J5" s="2"/>
      <c r="K5" s="2"/>
      <c r="L5" s="2"/>
      <c r="M5" s="2"/>
      <c r="N5" s="2"/>
      <c r="O5" s="2"/>
      <c r="P5" s="2"/>
      <c r="Q5" s="2"/>
      <c r="R5" s="2"/>
    </row>
    <row r="6" spans="1:18" ht="69.75" customHeight="1">
      <c r="A6" s="11"/>
      <c r="B6" s="126" t="s">
        <v>84</v>
      </c>
      <c r="C6" s="126" t="s">
        <v>83</v>
      </c>
      <c r="D6" s="126" t="s">
        <v>82</v>
      </c>
      <c r="E6" s="126" t="s">
        <v>63</v>
      </c>
      <c r="F6" s="126" t="s">
        <v>187</v>
      </c>
      <c r="G6" s="126" t="s">
        <v>186</v>
      </c>
      <c r="H6" s="126" t="s">
        <v>35</v>
      </c>
      <c r="I6" s="126" t="s">
        <v>53</v>
      </c>
      <c r="J6" s="126" t="s">
        <v>150</v>
      </c>
      <c r="K6" s="126" t="s">
        <v>151</v>
      </c>
      <c r="L6" s="126" t="s">
        <v>152</v>
      </c>
      <c r="N6" s="126" t="s">
        <v>174</v>
      </c>
      <c r="O6" s="126" t="s">
        <v>175</v>
      </c>
      <c r="P6" s="126" t="s">
        <v>176</v>
      </c>
      <c r="Q6" s="126" t="s">
        <v>177</v>
      </c>
      <c r="R6" s="126" t="s">
        <v>178</v>
      </c>
    </row>
    <row r="7" spans="1:18" ht="15.75">
      <c r="A7" s="12" t="s">
        <v>10</v>
      </c>
      <c r="B7" s="24">
        <v>482.15</v>
      </c>
      <c r="C7" s="24">
        <v>514.58</v>
      </c>
      <c r="D7" s="24">
        <v>549.19</v>
      </c>
      <c r="E7" s="24">
        <v>585.99</v>
      </c>
      <c r="F7" s="24">
        <v>624.67</v>
      </c>
      <c r="G7" s="24">
        <v>624.67</v>
      </c>
      <c r="H7" s="24">
        <v>665.9</v>
      </c>
      <c r="I7" s="24">
        <v>709.85</v>
      </c>
      <c r="J7" s="24">
        <v>756.7</v>
      </c>
      <c r="K7" s="24">
        <v>756.7</v>
      </c>
      <c r="L7" s="24">
        <v>756.7</v>
      </c>
      <c r="N7" s="24">
        <v>806.64</v>
      </c>
      <c r="O7" s="24">
        <v>859.88</v>
      </c>
      <c r="P7" s="24">
        <v>916.63</v>
      </c>
      <c r="Q7" s="24">
        <v>977.13</v>
      </c>
      <c r="R7" s="24">
        <v>1041.62</v>
      </c>
    </row>
    <row r="8" spans="1:18" ht="15.75">
      <c r="A8" s="113" t="s">
        <v>85</v>
      </c>
      <c r="B8" s="29"/>
      <c r="C8" s="29"/>
      <c r="D8" s="29"/>
      <c r="E8" s="29"/>
      <c r="F8" s="29"/>
      <c r="G8" s="29"/>
      <c r="H8" s="29"/>
      <c r="I8" s="29"/>
      <c r="J8" s="29"/>
      <c r="K8" s="24">
        <v>758</v>
      </c>
      <c r="L8" s="24">
        <v>758</v>
      </c>
      <c r="N8" s="24">
        <v>809</v>
      </c>
      <c r="O8" s="24">
        <v>863</v>
      </c>
      <c r="P8" s="24">
        <v>921</v>
      </c>
      <c r="Q8" s="24">
        <v>983</v>
      </c>
      <c r="R8" s="24">
        <v>1049</v>
      </c>
    </row>
    <row r="9" spans="1:23" ht="15.75">
      <c r="A9" s="12" t="s">
        <v>11</v>
      </c>
      <c r="B9" s="24">
        <v>661.56</v>
      </c>
      <c r="C9" s="24">
        <v>705.21</v>
      </c>
      <c r="D9" s="24">
        <v>751.73</v>
      </c>
      <c r="E9" s="24">
        <v>801.34</v>
      </c>
      <c r="F9" s="24">
        <v>852.63</v>
      </c>
      <c r="G9" s="24">
        <v>852.63</v>
      </c>
      <c r="H9" s="24">
        <v>907.2</v>
      </c>
      <c r="I9" s="24">
        <v>965.26</v>
      </c>
      <c r="J9" s="24">
        <v>1027.04</v>
      </c>
      <c r="K9" s="24">
        <v>1027.04</v>
      </c>
      <c r="L9" s="24">
        <v>1027.04</v>
      </c>
      <c r="N9" s="24">
        <v>1092.77</v>
      </c>
      <c r="O9" s="24">
        <v>1162.71</v>
      </c>
      <c r="P9" s="24">
        <v>1237.12</v>
      </c>
      <c r="Q9" s="24">
        <v>1316.3</v>
      </c>
      <c r="R9" s="24">
        <v>1400.54</v>
      </c>
      <c r="S9" s="221"/>
      <c r="T9" s="221"/>
      <c r="U9" s="221"/>
      <c r="V9" s="221"/>
      <c r="W9" s="221"/>
    </row>
    <row r="10" spans="1:18" ht="15.75">
      <c r="A10" s="113" t="s">
        <v>86</v>
      </c>
      <c r="B10" s="12"/>
      <c r="C10" s="12"/>
      <c r="D10" s="12"/>
      <c r="E10" s="30"/>
      <c r="F10" s="30"/>
      <c r="G10" s="30"/>
      <c r="H10" s="30"/>
      <c r="I10" s="30"/>
      <c r="J10" s="30"/>
      <c r="K10" s="24">
        <v>1029</v>
      </c>
      <c r="L10" s="24">
        <v>1029</v>
      </c>
      <c r="N10" s="24">
        <v>1097</v>
      </c>
      <c r="O10" s="24">
        <v>1169</v>
      </c>
      <c r="P10" s="24">
        <v>1246</v>
      </c>
      <c r="Q10" s="24">
        <v>1328</v>
      </c>
      <c r="R10" s="24">
        <v>1416</v>
      </c>
    </row>
    <row r="11" spans="1:18" ht="15.75">
      <c r="A11" s="12" t="s">
        <v>12</v>
      </c>
      <c r="B11" s="13">
        <v>516.43</v>
      </c>
      <c r="C11" s="13">
        <v>550.5</v>
      </c>
      <c r="D11" s="13">
        <v>586.82</v>
      </c>
      <c r="E11" s="13">
        <v>625.5499999333996</v>
      </c>
      <c r="F11" s="13">
        <v>665.5899998851384</v>
      </c>
      <c r="G11" s="13">
        <v>665.5899998764882</v>
      </c>
      <c r="H11" s="13">
        <v>708.190000421769</v>
      </c>
      <c r="I11" s="13">
        <v>753.5100003250274</v>
      </c>
      <c r="J11" s="13">
        <v>801.729999851603</v>
      </c>
      <c r="K11" s="13">
        <v>801.729999851603</v>
      </c>
      <c r="L11" s="13" t="s">
        <v>94</v>
      </c>
      <c r="N11" s="13" t="s">
        <v>94</v>
      </c>
      <c r="O11" s="13" t="s">
        <v>94</v>
      </c>
      <c r="P11" s="13" t="s">
        <v>94</v>
      </c>
      <c r="Q11" s="13" t="s">
        <v>94</v>
      </c>
      <c r="R11" s="13" t="s">
        <v>94</v>
      </c>
    </row>
    <row r="12" spans="1:18" ht="15.7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N12" s="13"/>
      <c r="O12" s="13"/>
      <c r="P12" s="13"/>
      <c r="Q12" s="13"/>
      <c r="R12" s="13"/>
    </row>
    <row r="13" spans="1:18" ht="15.75">
      <c r="A13" s="12" t="s">
        <v>58</v>
      </c>
      <c r="B13" s="12"/>
      <c r="C13" s="12"/>
      <c r="D13" s="12"/>
      <c r="E13" s="13"/>
      <c r="F13" s="13"/>
      <c r="G13" s="13">
        <v>20.23</v>
      </c>
      <c r="H13" s="13">
        <v>21.06</v>
      </c>
      <c r="I13" s="13">
        <v>21.92</v>
      </c>
      <c r="J13" s="13" t="s">
        <v>94</v>
      </c>
      <c r="K13" s="13" t="s">
        <v>94</v>
      </c>
      <c r="L13" s="13" t="s">
        <v>94</v>
      </c>
      <c r="N13" s="13" t="s">
        <v>94</v>
      </c>
      <c r="O13" s="13" t="s">
        <v>94</v>
      </c>
      <c r="P13" s="13" t="s">
        <v>94</v>
      </c>
      <c r="Q13" s="13" t="s">
        <v>94</v>
      </c>
      <c r="R13" s="13" t="s">
        <v>94</v>
      </c>
    </row>
    <row r="14" spans="1:18" ht="15.7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N14" s="13"/>
      <c r="O14" s="13"/>
      <c r="P14" s="13"/>
      <c r="Q14" s="13"/>
      <c r="R14" s="13"/>
    </row>
    <row r="15" spans="1:18" ht="15.75">
      <c r="A15" s="12" t="s">
        <v>67</v>
      </c>
      <c r="B15" s="12"/>
      <c r="C15" s="12"/>
      <c r="D15" s="12"/>
      <c r="E15" s="13"/>
      <c r="F15" s="13"/>
      <c r="G15" s="13"/>
      <c r="H15" s="13">
        <v>4009.38</v>
      </c>
      <c r="I15" s="13">
        <v>4057.09</v>
      </c>
      <c r="J15" s="13">
        <v>4105.37</v>
      </c>
      <c r="K15" s="13">
        <v>4105.37</v>
      </c>
      <c r="L15" s="13">
        <v>4105.37</v>
      </c>
      <c r="N15" s="13">
        <v>4154.22</v>
      </c>
      <c r="O15" s="13">
        <v>4203.66</v>
      </c>
      <c r="P15" s="13">
        <v>4253.68</v>
      </c>
      <c r="Q15" s="13">
        <v>4304.3</v>
      </c>
      <c r="R15" s="13">
        <v>4355.52</v>
      </c>
    </row>
    <row r="16" spans="1:18" ht="15.7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N16" s="13"/>
      <c r="O16" s="13"/>
      <c r="P16" s="13"/>
      <c r="Q16" s="13"/>
      <c r="R16" s="13"/>
    </row>
    <row r="17" spans="1:18" ht="15.75">
      <c r="A17" s="12" t="s">
        <v>68</v>
      </c>
      <c r="B17" s="12"/>
      <c r="C17" s="12"/>
      <c r="D17" s="12"/>
      <c r="E17" s="13"/>
      <c r="F17" s="13"/>
      <c r="G17" s="13"/>
      <c r="H17" s="13">
        <v>4742.15</v>
      </c>
      <c r="I17" s="13">
        <v>4895.32</v>
      </c>
      <c r="J17" s="13">
        <v>5053.44</v>
      </c>
      <c r="K17" s="13">
        <v>5053.44</v>
      </c>
      <c r="L17" s="13">
        <v>5053.44</v>
      </c>
      <c r="N17" s="13">
        <v>5216.67</v>
      </c>
      <c r="O17" s="13">
        <v>5385.17</v>
      </c>
      <c r="P17" s="13">
        <v>5559.11</v>
      </c>
      <c r="Q17" s="13">
        <v>5738.67</v>
      </c>
      <c r="R17" s="13">
        <v>5924.03</v>
      </c>
    </row>
    <row r="18" spans="1:18" ht="15.7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N18" s="13"/>
      <c r="O18" s="13"/>
      <c r="P18" s="13"/>
      <c r="Q18" s="13"/>
      <c r="R18" s="13"/>
    </row>
    <row r="19" spans="1:18" ht="78.75">
      <c r="A19" s="125" t="s">
        <v>155</v>
      </c>
      <c r="B19" s="201" t="s">
        <v>162</v>
      </c>
      <c r="C19" s="12"/>
      <c r="D19" s="12"/>
      <c r="E19" s="13"/>
      <c r="F19" s="13"/>
      <c r="G19" s="13"/>
      <c r="H19" s="13"/>
      <c r="I19" s="13"/>
      <c r="J19" s="13"/>
      <c r="K19" s="187">
        <v>2646</v>
      </c>
      <c r="L19" s="187">
        <v>2646</v>
      </c>
      <c r="N19" s="187">
        <v>2808</v>
      </c>
      <c r="O19" s="187">
        <v>2980</v>
      </c>
      <c r="P19" s="187">
        <v>3162</v>
      </c>
      <c r="Q19" s="187">
        <v>3356</v>
      </c>
      <c r="R19" s="187">
        <v>3561</v>
      </c>
    </row>
    <row r="20" spans="1:18" ht="78.75">
      <c r="A20" s="125" t="s">
        <v>156</v>
      </c>
      <c r="B20" s="201" t="s">
        <v>162</v>
      </c>
      <c r="C20" s="12"/>
      <c r="D20" s="12"/>
      <c r="E20" s="13"/>
      <c r="F20" s="13"/>
      <c r="G20" s="13"/>
      <c r="H20" s="13"/>
      <c r="I20" s="13"/>
      <c r="J20" s="13"/>
      <c r="K20" s="187">
        <v>2646</v>
      </c>
      <c r="L20" s="187">
        <v>2646</v>
      </c>
      <c r="N20" s="187">
        <v>2808</v>
      </c>
      <c r="O20" s="187">
        <v>2980</v>
      </c>
      <c r="P20" s="187">
        <v>3162</v>
      </c>
      <c r="Q20" s="187">
        <v>3356</v>
      </c>
      <c r="R20" s="187">
        <v>3561</v>
      </c>
    </row>
    <row r="21" spans="1:18" ht="78.75">
      <c r="A21" s="125" t="s">
        <v>157</v>
      </c>
      <c r="B21" s="201" t="s">
        <v>162</v>
      </c>
      <c r="C21" s="12"/>
      <c r="D21" s="12"/>
      <c r="E21" s="13"/>
      <c r="F21" s="13"/>
      <c r="G21" s="13"/>
      <c r="H21" s="13"/>
      <c r="I21" s="13"/>
      <c r="J21" s="13"/>
      <c r="K21" s="187">
        <v>1625</v>
      </c>
      <c r="L21" s="187">
        <v>1625</v>
      </c>
      <c r="N21" s="187">
        <v>1712</v>
      </c>
      <c r="O21" s="187">
        <v>1804</v>
      </c>
      <c r="P21" s="187">
        <v>1901</v>
      </c>
      <c r="Q21" s="187">
        <v>2003</v>
      </c>
      <c r="R21" s="187">
        <v>2111</v>
      </c>
    </row>
    <row r="22" spans="1:18" ht="78.75">
      <c r="A22" s="125" t="s">
        <v>158</v>
      </c>
      <c r="B22" s="201" t="s">
        <v>162</v>
      </c>
      <c r="C22" s="12"/>
      <c r="D22" s="12"/>
      <c r="E22" s="13"/>
      <c r="F22" s="13"/>
      <c r="G22" s="13"/>
      <c r="H22" s="13"/>
      <c r="I22" s="13"/>
      <c r="J22" s="13"/>
      <c r="K22" s="187">
        <v>1625</v>
      </c>
      <c r="L22" s="187">
        <v>1625</v>
      </c>
      <c r="N22" s="187">
        <v>1712</v>
      </c>
      <c r="O22" s="187">
        <v>1804</v>
      </c>
      <c r="P22" s="187">
        <v>1901</v>
      </c>
      <c r="Q22" s="187">
        <v>2003</v>
      </c>
      <c r="R22" s="187">
        <v>2111</v>
      </c>
    </row>
    <row r="23" spans="1:18" ht="31.5">
      <c r="A23" s="125" t="s">
        <v>159</v>
      </c>
      <c r="B23" s="201" t="s">
        <v>162</v>
      </c>
      <c r="C23" s="12"/>
      <c r="D23" s="12"/>
      <c r="E23" s="13"/>
      <c r="F23" s="13"/>
      <c r="G23" s="13"/>
      <c r="H23" s="13"/>
      <c r="I23" s="13"/>
      <c r="J23" s="13"/>
      <c r="K23" s="187">
        <v>9396.9</v>
      </c>
      <c r="L23" s="187">
        <v>9396.9</v>
      </c>
      <c r="N23" s="187">
        <v>9951.32</v>
      </c>
      <c r="O23" s="187">
        <v>10538.45</v>
      </c>
      <c r="P23" s="187">
        <v>11160.22</v>
      </c>
      <c r="Q23" s="187">
        <v>11818.67</v>
      </c>
      <c r="R23" s="187">
        <v>12515.97</v>
      </c>
    </row>
    <row r="24" spans="1:18" ht="15.75">
      <c r="A24" s="125" t="s">
        <v>160</v>
      </c>
      <c r="B24" s="201" t="s">
        <v>162</v>
      </c>
      <c r="C24" s="12"/>
      <c r="D24" s="12"/>
      <c r="E24" s="13"/>
      <c r="F24" s="13"/>
      <c r="G24" s="13"/>
      <c r="H24" s="13"/>
      <c r="I24" s="13"/>
      <c r="J24" s="13"/>
      <c r="K24" s="187">
        <v>8403.92</v>
      </c>
      <c r="L24" s="187">
        <v>8403.92</v>
      </c>
      <c r="N24" s="187">
        <v>8706.46</v>
      </c>
      <c r="O24" s="187">
        <v>9019.89</v>
      </c>
      <c r="P24" s="187">
        <v>9344.61</v>
      </c>
      <c r="Q24" s="187">
        <v>9681.02</v>
      </c>
      <c r="R24" s="187">
        <v>10029.54</v>
      </c>
    </row>
    <row r="25" spans="1:18" ht="15.75">
      <c r="A25" s="28"/>
      <c r="B25" s="28"/>
      <c r="C25" s="28"/>
      <c r="D25" s="28"/>
      <c r="E25" s="60"/>
      <c r="F25" s="60"/>
      <c r="G25" s="60"/>
      <c r="H25" s="60"/>
      <c r="I25" s="60"/>
      <c r="J25" s="60"/>
      <c r="K25" s="60"/>
      <c r="L25" s="60"/>
      <c r="N25" s="60"/>
      <c r="O25" s="60"/>
      <c r="P25" s="60"/>
      <c r="Q25" s="60"/>
      <c r="R25" s="60"/>
    </row>
    <row r="26" spans="1:18" ht="20.25">
      <c r="A26" s="25" t="s">
        <v>13</v>
      </c>
      <c r="B26" s="25"/>
      <c r="C26" s="25"/>
      <c r="D26" s="25"/>
      <c r="E26" s="25"/>
      <c r="F26" s="25"/>
      <c r="G26" s="1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72.75" customHeight="1">
      <c r="A27" s="11"/>
      <c r="B27" s="126" t="s">
        <v>84</v>
      </c>
      <c r="C27" s="126" t="s">
        <v>83</v>
      </c>
      <c r="D27" s="126" t="s">
        <v>82</v>
      </c>
      <c r="E27" s="126" t="s">
        <v>63</v>
      </c>
      <c r="F27" s="126" t="s">
        <v>153</v>
      </c>
      <c r="G27" s="126" t="s">
        <v>154</v>
      </c>
      <c r="H27" s="126" t="s">
        <v>35</v>
      </c>
      <c r="I27" s="126" t="s">
        <v>53</v>
      </c>
      <c r="J27" s="126" t="s">
        <v>150</v>
      </c>
      <c r="K27" s="126" t="s">
        <v>151</v>
      </c>
      <c r="L27" s="126" t="s">
        <v>152</v>
      </c>
      <c r="N27" s="126" t="s">
        <v>174</v>
      </c>
      <c r="O27" s="126" t="s">
        <v>175</v>
      </c>
      <c r="P27" s="126" t="s">
        <v>176</v>
      </c>
      <c r="Q27" s="126" t="s">
        <v>177</v>
      </c>
      <c r="R27" s="126" t="s">
        <v>178</v>
      </c>
    </row>
    <row r="28" spans="1:18" ht="25.5" customHeight="1">
      <c r="A28" s="12" t="s">
        <v>10</v>
      </c>
      <c r="B28" s="62">
        <v>223.53531295445484</v>
      </c>
      <c r="C28" s="62">
        <v>249.8876398364384</v>
      </c>
      <c r="D28" s="175">
        <v>263.89288874338075</v>
      </c>
      <c r="E28" s="175">
        <v>234.8091560845917</v>
      </c>
      <c r="F28" s="175">
        <v>187.00025603090742</v>
      </c>
      <c r="G28" s="175">
        <v>285.70145980210975</v>
      </c>
      <c r="H28" s="175">
        <v>311.07996468079165</v>
      </c>
      <c r="I28" s="175">
        <v>330.75243359487087</v>
      </c>
      <c r="J28" s="175">
        <v>350.60717166778653</v>
      </c>
      <c r="K28" s="175">
        <v>350.3391299301369</v>
      </c>
      <c r="L28" s="175">
        <v>349.1736500322148</v>
      </c>
      <c r="N28" s="62">
        <v>353.88139880703164</v>
      </c>
      <c r="O28" s="62">
        <v>376.92657138659536</v>
      </c>
      <c r="P28" s="62">
        <v>401.8962339796826</v>
      </c>
      <c r="Q28" s="62">
        <v>427.1035284336821</v>
      </c>
      <c r="R28" s="62">
        <f>Q28</f>
        <v>427.1035284336821</v>
      </c>
    </row>
    <row r="29" spans="1:18" ht="15.75">
      <c r="A29" s="113" t="s">
        <v>85</v>
      </c>
      <c r="B29" s="14"/>
      <c r="C29" s="14"/>
      <c r="D29" s="176"/>
      <c r="E29" s="176"/>
      <c r="F29" s="176"/>
      <c r="G29" s="176"/>
      <c r="H29" s="176"/>
      <c r="I29" s="176"/>
      <c r="J29" s="176"/>
      <c r="K29" s="175">
        <v>332.6756075403754</v>
      </c>
      <c r="L29" s="175">
        <v>352.63614399279794</v>
      </c>
      <c r="N29" s="62">
        <v>352.63614399279794</v>
      </c>
      <c r="O29" s="62">
        <v>373.7943126323658</v>
      </c>
      <c r="P29" s="62">
        <v>396.22197139030783</v>
      </c>
      <c r="Q29" s="62">
        <f>P29</f>
        <v>396.22197139030783</v>
      </c>
      <c r="R29" s="62">
        <f>Q29</f>
        <v>396.22197139030783</v>
      </c>
    </row>
    <row r="30" spans="1:18" ht="15.75">
      <c r="A30" s="12" t="s">
        <v>11</v>
      </c>
      <c r="B30" s="62">
        <v>448.12224305760856</v>
      </c>
      <c r="C30" s="62">
        <v>487.1228057200074</v>
      </c>
      <c r="D30" s="175">
        <v>497.80558508457284</v>
      </c>
      <c r="E30" s="175">
        <v>481.22566144012467</v>
      </c>
      <c r="F30" s="175">
        <v>400.81749834906174</v>
      </c>
      <c r="G30" s="175">
        <v>539.7268015549176</v>
      </c>
      <c r="H30" s="175">
        <v>587.028015746048</v>
      </c>
      <c r="I30" s="175">
        <v>623.6084497789752</v>
      </c>
      <c r="J30" s="175">
        <v>662.7568412352485</v>
      </c>
      <c r="K30" s="175">
        <v>662.6931458937008</v>
      </c>
      <c r="L30" s="175">
        <v>664.2707979274544</v>
      </c>
      <c r="N30" s="62">
        <v>663.684420853796</v>
      </c>
      <c r="O30" s="62">
        <v>708.2260910346255</v>
      </c>
      <c r="P30" s="62">
        <v>758.8734253970285</v>
      </c>
      <c r="Q30" s="62">
        <v>842.1161547083043</v>
      </c>
      <c r="R30" s="62">
        <f>Q30</f>
        <v>842.1161547083043</v>
      </c>
    </row>
    <row r="31" spans="1:18" ht="15.75">
      <c r="A31" s="113" t="s">
        <v>86</v>
      </c>
      <c r="B31" s="12"/>
      <c r="C31" s="12"/>
      <c r="D31" s="177"/>
      <c r="E31" s="176"/>
      <c r="F31" s="176"/>
      <c r="G31" s="176"/>
      <c r="H31" s="176"/>
      <c r="I31" s="176"/>
      <c r="J31" s="176"/>
      <c r="K31" s="175">
        <v>694.882312462026</v>
      </c>
      <c r="L31" s="175">
        <v>736.5752512097476</v>
      </c>
      <c r="N31" s="62">
        <v>736.5752512097475</v>
      </c>
      <c r="O31" s="62">
        <v>780.7697662823325</v>
      </c>
      <c r="P31" s="62">
        <v>827.6159522592726</v>
      </c>
      <c r="Q31" s="62">
        <f>P31</f>
        <v>827.6159522592726</v>
      </c>
      <c r="R31" s="62">
        <f>Q31</f>
        <v>827.6159522592726</v>
      </c>
    </row>
    <row r="32" spans="1:18" ht="15.75">
      <c r="A32" s="12" t="s">
        <v>14</v>
      </c>
      <c r="B32" s="62">
        <v>665.5471667440817</v>
      </c>
      <c r="C32" s="62">
        <v>699.8583803811844</v>
      </c>
      <c r="D32" s="175">
        <v>632.1681613305378</v>
      </c>
      <c r="E32" s="178">
        <v>566.4837616138162</v>
      </c>
      <c r="F32" s="178">
        <v>454.35060024784576</v>
      </c>
      <c r="G32" s="178">
        <v>671.0049423416068</v>
      </c>
      <c r="H32" s="178">
        <v>757.7601755138456</v>
      </c>
      <c r="I32" s="178">
        <v>835.3109563216127</v>
      </c>
      <c r="J32" s="178">
        <v>894.412112786598</v>
      </c>
      <c r="K32" s="13" t="s">
        <v>94</v>
      </c>
      <c r="L32" s="13" t="s">
        <v>94</v>
      </c>
      <c r="N32" s="62" t="s">
        <v>94</v>
      </c>
      <c r="O32" s="62" t="s">
        <v>94</v>
      </c>
      <c r="P32" s="62" t="s">
        <v>94</v>
      </c>
      <c r="Q32" s="62" t="s">
        <v>94</v>
      </c>
      <c r="R32" s="62" t="s">
        <v>94</v>
      </c>
    </row>
    <row r="33" spans="1:18" ht="15.75">
      <c r="A33" s="12"/>
      <c r="B33" s="12"/>
      <c r="C33" s="12"/>
      <c r="D33" s="177"/>
      <c r="E33" s="176"/>
      <c r="F33" s="176"/>
      <c r="G33" s="176"/>
      <c r="H33" s="176"/>
      <c r="I33" s="176"/>
      <c r="J33" s="176"/>
      <c r="K33" s="14"/>
      <c r="L33" s="14"/>
      <c r="N33" s="62"/>
      <c r="O33" s="62"/>
      <c r="P33" s="62"/>
      <c r="Q33" s="62"/>
      <c r="R33" s="62"/>
    </row>
    <row r="34" spans="1:18" ht="15.75">
      <c r="A34" s="12" t="s">
        <v>12</v>
      </c>
      <c r="B34" s="62">
        <v>248.432153615407</v>
      </c>
      <c r="C34" s="62">
        <v>268.4544475888736</v>
      </c>
      <c r="D34" s="175">
        <v>300.6924817726119</v>
      </c>
      <c r="E34" s="179">
        <v>322.0692233305304</v>
      </c>
      <c r="F34" s="179">
        <v>320.68103694874003</v>
      </c>
      <c r="G34" s="179">
        <v>348.9909065424946</v>
      </c>
      <c r="H34" s="179">
        <v>354.85865321137646</v>
      </c>
      <c r="I34" s="179">
        <v>375.99106115685004</v>
      </c>
      <c r="J34" s="179">
        <v>398.4263244188336</v>
      </c>
      <c r="K34" s="16" t="s">
        <v>94</v>
      </c>
      <c r="L34" s="16" t="s">
        <v>94</v>
      </c>
      <c r="N34" s="62" t="s">
        <v>94</v>
      </c>
      <c r="O34" s="62" t="s">
        <v>94</v>
      </c>
      <c r="P34" s="62" t="s">
        <v>94</v>
      </c>
      <c r="Q34" s="62" t="s">
        <v>94</v>
      </c>
      <c r="R34" s="62" t="s">
        <v>94</v>
      </c>
    </row>
    <row r="35" spans="1:18" ht="15.75">
      <c r="A35" s="17"/>
      <c r="B35" s="17"/>
      <c r="C35" s="17"/>
      <c r="D35" s="180"/>
      <c r="E35" s="181"/>
      <c r="F35" s="181"/>
      <c r="G35" s="185"/>
      <c r="H35" s="185"/>
      <c r="I35" s="185"/>
      <c r="J35" s="185"/>
      <c r="K35" s="61"/>
      <c r="L35" s="61"/>
      <c r="N35" s="62"/>
      <c r="O35" s="62"/>
      <c r="P35" s="62"/>
      <c r="Q35" s="62"/>
      <c r="R35" s="62"/>
    </row>
    <row r="36" spans="1:18" ht="15.75">
      <c r="A36" s="12" t="s">
        <v>15</v>
      </c>
      <c r="B36" s="62">
        <v>307.99465991836416</v>
      </c>
      <c r="C36" s="62">
        <v>291.7488115100793</v>
      </c>
      <c r="D36" s="175">
        <v>323.09600119678265</v>
      </c>
      <c r="E36" s="179">
        <v>353.3885413907895</v>
      </c>
      <c r="F36" s="179">
        <v>361.75246955724856</v>
      </c>
      <c r="G36" s="179">
        <v>394.9159765490751</v>
      </c>
      <c r="H36" s="179">
        <v>380.6326704304404</v>
      </c>
      <c r="I36" s="179">
        <v>403.0034665464344</v>
      </c>
      <c r="J36" s="179">
        <v>426.8340693524912</v>
      </c>
      <c r="K36" s="16" t="s">
        <v>94</v>
      </c>
      <c r="L36" s="16" t="s">
        <v>94</v>
      </c>
      <c r="N36" s="62" t="s">
        <v>94</v>
      </c>
      <c r="O36" s="62" t="s">
        <v>94</v>
      </c>
      <c r="P36" s="62" t="s">
        <v>94</v>
      </c>
      <c r="Q36" s="62" t="s">
        <v>94</v>
      </c>
      <c r="R36" s="62" t="s">
        <v>94</v>
      </c>
    </row>
    <row r="37" spans="1:18" ht="15.75">
      <c r="A37" s="18"/>
      <c r="B37" s="18"/>
      <c r="C37" s="18"/>
      <c r="D37" s="182"/>
      <c r="E37" s="183"/>
      <c r="F37" s="183"/>
      <c r="G37" s="185"/>
      <c r="H37" s="185"/>
      <c r="I37" s="185"/>
      <c r="J37" s="185"/>
      <c r="K37" s="61"/>
      <c r="L37" s="61"/>
      <c r="N37" s="62"/>
      <c r="O37" s="62"/>
      <c r="P37" s="62"/>
      <c r="Q37" s="62"/>
      <c r="R37" s="62"/>
    </row>
    <row r="38" spans="1:18" ht="15.75">
      <c r="A38" s="12" t="s">
        <v>58</v>
      </c>
      <c r="B38" s="24">
        <v>17.52585401702823</v>
      </c>
      <c r="C38" s="24">
        <v>23.36800321333305</v>
      </c>
      <c r="D38" s="184">
        <v>24.387933701259605</v>
      </c>
      <c r="E38" s="184">
        <v>24.40484534655906</v>
      </c>
      <c r="F38" s="184">
        <v>16.389802161089023</v>
      </c>
      <c r="G38" s="184">
        <v>25.87</v>
      </c>
      <c r="H38" s="184">
        <v>27.42</v>
      </c>
      <c r="I38" s="184">
        <v>29.07</v>
      </c>
      <c r="J38" s="13" t="s">
        <v>94</v>
      </c>
      <c r="K38" s="13" t="s">
        <v>94</v>
      </c>
      <c r="L38" s="13" t="s">
        <v>94</v>
      </c>
      <c r="N38" s="62" t="s">
        <v>94</v>
      </c>
      <c r="O38" s="62" t="s">
        <v>94</v>
      </c>
      <c r="P38" s="62" t="s">
        <v>94</v>
      </c>
      <c r="Q38" s="62" t="s">
        <v>94</v>
      </c>
      <c r="R38" s="62" t="s">
        <v>94</v>
      </c>
    </row>
    <row r="39" spans="1:18" ht="15.75">
      <c r="A39" s="12"/>
      <c r="B39" s="12"/>
      <c r="C39" s="12"/>
      <c r="D39" s="12"/>
      <c r="E39" s="24"/>
      <c r="F39" s="184"/>
      <c r="G39" s="184"/>
      <c r="H39" s="184"/>
      <c r="I39" s="184"/>
      <c r="J39" s="184"/>
      <c r="K39" s="24"/>
      <c r="L39" s="24"/>
      <c r="N39" s="62"/>
      <c r="O39" s="62"/>
      <c r="P39" s="62"/>
      <c r="Q39" s="62"/>
      <c r="R39" s="62"/>
    </row>
    <row r="40" spans="1:18" ht="15.75">
      <c r="A40" s="12" t="s">
        <v>67</v>
      </c>
      <c r="B40" s="12"/>
      <c r="C40" s="12"/>
      <c r="D40" s="12"/>
      <c r="E40" s="24"/>
      <c r="F40" s="24"/>
      <c r="G40" s="184"/>
      <c r="H40" s="184">
        <v>4039.8761</v>
      </c>
      <c r="I40" s="184">
        <v>3948.20882</v>
      </c>
      <c r="J40" s="184">
        <v>3942.0061</v>
      </c>
      <c r="K40" s="184">
        <v>3942.0061</v>
      </c>
      <c r="L40" s="184">
        <v>3914.31901</v>
      </c>
      <c r="N40" s="62">
        <v>4119.876477</v>
      </c>
      <c r="O40" s="62">
        <v>4276.775914</v>
      </c>
      <c r="P40" s="62">
        <v>4375.686353</v>
      </c>
      <c r="Q40" s="62">
        <v>4551.002872</v>
      </c>
      <c r="R40" s="62">
        <f>Q40</f>
        <v>4551.002872</v>
      </c>
    </row>
    <row r="41" spans="1:18" ht="15.75">
      <c r="A41" s="12"/>
      <c r="B41" s="12"/>
      <c r="C41" s="12"/>
      <c r="D41" s="12"/>
      <c r="E41" s="24"/>
      <c r="F41" s="24"/>
      <c r="G41" s="184"/>
      <c r="H41" s="184"/>
      <c r="I41" s="184"/>
      <c r="J41" s="184"/>
      <c r="K41" s="184"/>
      <c r="L41" s="184"/>
      <c r="N41" s="62"/>
      <c r="O41" s="62"/>
      <c r="P41" s="62"/>
      <c r="Q41" s="62"/>
      <c r="R41" s="62"/>
    </row>
    <row r="42" spans="1:18" ht="15.75">
      <c r="A42" s="12" t="s">
        <v>68</v>
      </c>
      <c r="B42" s="12"/>
      <c r="C42" s="12"/>
      <c r="D42" s="12"/>
      <c r="E42" s="24"/>
      <c r="F42" s="24"/>
      <c r="G42" s="184"/>
      <c r="H42" s="184">
        <v>4755.69612</v>
      </c>
      <c r="I42" s="184">
        <v>4706.64116</v>
      </c>
      <c r="J42" s="184">
        <v>4751.90354</v>
      </c>
      <c r="K42" s="184">
        <v>4751.90354</v>
      </c>
      <c r="L42" s="184">
        <v>4724.07165</v>
      </c>
      <c r="N42" s="62">
        <v>4976.609577</v>
      </c>
      <c r="O42" s="62">
        <v>5184.663913</v>
      </c>
      <c r="P42" s="62">
        <v>5348.390699</v>
      </c>
      <c r="Q42" s="62">
        <v>5598.107689</v>
      </c>
      <c r="R42" s="62">
        <f>Q42</f>
        <v>5598.107689</v>
      </c>
    </row>
    <row r="43" spans="1:18" ht="15.75">
      <c r="A43" s="12"/>
      <c r="B43" s="12"/>
      <c r="C43" s="12"/>
      <c r="D43" s="12"/>
      <c r="E43" s="24"/>
      <c r="F43" s="24"/>
      <c r="G43" s="184"/>
      <c r="H43" s="184"/>
      <c r="I43" s="184"/>
      <c r="J43" s="184"/>
      <c r="K43" s="184"/>
      <c r="L43" s="184"/>
      <c r="N43" s="62"/>
      <c r="O43" s="62"/>
      <c r="P43" s="62"/>
      <c r="Q43" s="62"/>
      <c r="R43" s="62"/>
    </row>
    <row r="44" spans="1:18" ht="78.75">
      <c r="A44" s="125" t="s">
        <v>155</v>
      </c>
      <c r="B44" s="201" t="s">
        <v>162</v>
      </c>
      <c r="C44" s="188"/>
      <c r="D44" s="188"/>
      <c r="E44" s="188"/>
      <c r="F44" s="188"/>
      <c r="G44" s="188"/>
      <c r="H44" s="188"/>
      <c r="I44" s="188"/>
      <c r="J44" s="188"/>
      <c r="K44" s="188">
        <v>2372.6954092078317</v>
      </c>
      <c r="L44" s="188">
        <v>2277.1581319439347</v>
      </c>
      <c r="M44" s="188"/>
      <c r="N44" s="188">
        <v>2126.878744314634</v>
      </c>
      <c r="O44" s="188">
        <v>2258.2613798217926</v>
      </c>
      <c r="P44" s="188">
        <v>2306.311869251052</v>
      </c>
      <c r="Q44" s="188">
        <f aca="true" t="shared" si="0" ref="Q44:Q49">P44</f>
        <v>2306.311869251052</v>
      </c>
      <c r="R44" s="188">
        <f aca="true" t="shared" si="1" ref="R44:R49">Q44</f>
        <v>2306.311869251052</v>
      </c>
    </row>
    <row r="45" spans="1:18" ht="78.75">
      <c r="A45" s="125" t="s">
        <v>156</v>
      </c>
      <c r="B45" s="201" t="s">
        <v>162</v>
      </c>
      <c r="C45" s="189"/>
      <c r="D45" s="189"/>
      <c r="E45" s="189"/>
      <c r="F45" s="189"/>
      <c r="G45" s="189"/>
      <c r="H45" s="189"/>
      <c r="I45" s="189"/>
      <c r="J45" s="189"/>
      <c r="K45" s="189">
        <v>1532.6459845453514</v>
      </c>
      <c r="L45" s="188">
        <v>1862.9407732522784</v>
      </c>
      <c r="M45" s="188"/>
      <c r="N45" s="188">
        <v>1956.0878119148924</v>
      </c>
      <c r="O45" s="188">
        <v>2053.892202510637</v>
      </c>
      <c r="P45" s="188">
        <v>2156.586812636169</v>
      </c>
      <c r="Q45" s="188">
        <f t="shared" si="0"/>
        <v>2156.586812636169</v>
      </c>
      <c r="R45" s="188">
        <f t="shared" si="1"/>
        <v>2156.586812636169</v>
      </c>
    </row>
    <row r="46" spans="1:18" ht="78.75">
      <c r="A46" s="125" t="s">
        <v>157</v>
      </c>
      <c r="B46" s="201" t="s">
        <v>162</v>
      </c>
      <c r="C46" s="189"/>
      <c r="D46" s="189"/>
      <c r="E46" s="189"/>
      <c r="F46" s="189"/>
      <c r="G46" s="189"/>
      <c r="H46" s="189"/>
      <c r="I46" s="189"/>
      <c r="J46" s="189"/>
      <c r="K46" s="189">
        <v>1814.6891666586932</v>
      </c>
      <c r="L46" s="188">
        <v>1824.816696647726</v>
      </c>
      <c r="M46" s="188"/>
      <c r="N46" s="188">
        <v>2830.51760791408</v>
      </c>
      <c r="O46" s="188">
        <v>3645.053971900447</v>
      </c>
      <c r="P46" s="188">
        <v>4603.9421519692005</v>
      </c>
      <c r="Q46" s="188">
        <f t="shared" si="0"/>
        <v>4603.9421519692005</v>
      </c>
      <c r="R46" s="188">
        <f t="shared" si="1"/>
        <v>4603.9421519692005</v>
      </c>
    </row>
    <row r="47" spans="1:18" ht="78.75">
      <c r="A47" s="125" t="s">
        <v>158</v>
      </c>
      <c r="B47" s="201" t="s">
        <v>162</v>
      </c>
      <c r="C47" s="189"/>
      <c r="D47" s="189"/>
      <c r="E47" s="189"/>
      <c r="F47" s="189"/>
      <c r="G47" s="189"/>
      <c r="H47" s="189"/>
      <c r="I47" s="189"/>
      <c r="J47" s="189"/>
      <c r="K47" s="189">
        <v>1026.671569325736</v>
      </c>
      <c r="L47" s="188">
        <v>1247.9257092127405</v>
      </c>
      <c r="M47" s="188"/>
      <c r="N47" s="188">
        <v>1310.3219946733775</v>
      </c>
      <c r="O47" s="188">
        <v>1375.8380944070466</v>
      </c>
      <c r="P47" s="188">
        <v>1444.6299991273986</v>
      </c>
      <c r="Q47" s="188">
        <f t="shared" si="0"/>
        <v>1444.6299991273986</v>
      </c>
      <c r="R47" s="188">
        <f t="shared" si="1"/>
        <v>1444.6299991273986</v>
      </c>
    </row>
    <row r="48" spans="1:18" ht="31.5">
      <c r="A48" s="125" t="s">
        <v>159</v>
      </c>
      <c r="B48" s="201" t="s">
        <v>162</v>
      </c>
      <c r="C48" s="189"/>
      <c r="D48" s="189"/>
      <c r="E48" s="189"/>
      <c r="F48" s="189"/>
      <c r="G48" s="189"/>
      <c r="H48" s="189"/>
      <c r="I48" s="189"/>
      <c r="J48" s="189"/>
      <c r="K48" s="189">
        <v>8005.180000000001</v>
      </c>
      <c r="L48" s="188">
        <v>8005.18</v>
      </c>
      <c r="M48" s="188"/>
      <c r="N48" s="188">
        <v>8565.54</v>
      </c>
      <c r="O48" s="188">
        <v>9165.13</v>
      </c>
      <c r="P48" s="188">
        <v>9806.689999999999</v>
      </c>
      <c r="Q48" s="188">
        <f t="shared" si="0"/>
        <v>9806.689999999999</v>
      </c>
      <c r="R48" s="188">
        <f t="shared" si="1"/>
        <v>9806.689999999999</v>
      </c>
    </row>
    <row r="49" spans="1:18" ht="15.75">
      <c r="A49" s="125" t="s">
        <v>160</v>
      </c>
      <c r="B49" s="201" t="s">
        <v>162</v>
      </c>
      <c r="C49" s="189"/>
      <c r="D49" s="189"/>
      <c r="E49" s="189"/>
      <c r="F49" s="189"/>
      <c r="G49" s="189"/>
      <c r="H49" s="189"/>
      <c r="I49" s="189"/>
      <c r="J49" s="189"/>
      <c r="K49" s="189">
        <v>7348.83</v>
      </c>
      <c r="L49" s="188">
        <v>7348.83</v>
      </c>
      <c r="M49" s="188"/>
      <c r="N49" s="188">
        <v>7863.25</v>
      </c>
      <c r="O49" s="188">
        <v>8413.68</v>
      </c>
      <c r="P49" s="188">
        <v>9002.64</v>
      </c>
      <c r="Q49" s="188">
        <f t="shared" si="0"/>
        <v>9002.64</v>
      </c>
      <c r="R49" s="188">
        <f t="shared" si="1"/>
        <v>9002.64</v>
      </c>
    </row>
    <row r="50" spans="1:18" ht="15.75">
      <c r="A50" s="18"/>
      <c r="B50" s="18"/>
      <c r="C50" s="18"/>
      <c r="D50" s="18"/>
      <c r="E50" s="19"/>
      <c r="F50" s="19"/>
      <c r="G50" s="19"/>
      <c r="H50" s="19"/>
      <c r="I50" s="19"/>
      <c r="J50" s="19"/>
      <c r="K50" s="19"/>
      <c r="L50" s="19"/>
      <c r="N50" s="19"/>
      <c r="O50" s="19"/>
      <c r="P50" s="19"/>
      <c r="Q50" s="19"/>
      <c r="R50" s="19"/>
    </row>
    <row r="51" spans="1:18" ht="20.25">
      <c r="A51" s="25" t="s">
        <v>16</v>
      </c>
      <c r="B51" s="25"/>
      <c r="C51" s="25"/>
      <c r="D51" s="25"/>
      <c r="E51" s="25"/>
      <c r="F51" s="25"/>
      <c r="G51" s="10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74.25" customHeight="1">
      <c r="A52" s="11"/>
      <c r="B52" s="126" t="s">
        <v>84</v>
      </c>
      <c r="C52" s="126" t="s">
        <v>83</v>
      </c>
      <c r="D52" s="126" t="s">
        <v>82</v>
      </c>
      <c r="E52" s="126" t="s">
        <v>63</v>
      </c>
      <c r="F52" s="126" t="s">
        <v>153</v>
      </c>
      <c r="G52" s="126" t="s">
        <v>154</v>
      </c>
      <c r="H52" s="126" t="s">
        <v>35</v>
      </c>
      <c r="I52" s="126" t="s">
        <v>53</v>
      </c>
      <c r="J52" s="126" t="s">
        <v>150</v>
      </c>
      <c r="K52" s="126" t="s">
        <v>151</v>
      </c>
      <c r="L52" s="126" t="s">
        <v>152</v>
      </c>
      <c r="N52" s="126" t="s">
        <v>174</v>
      </c>
      <c r="O52" s="126" t="s">
        <v>175</v>
      </c>
      <c r="P52" s="126" t="s">
        <v>176</v>
      </c>
      <c r="Q52" s="126" t="s">
        <v>177</v>
      </c>
      <c r="R52" s="126" t="s">
        <v>178</v>
      </c>
    </row>
    <row r="53" spans="1:18" ht="15.75">
      <c r="A53" s="190" t="s">
        <v>10</v>
      </c>
      <c r="B53" s="191">
        <v>17922752</v>
      </c>
      <c r="C53" s="191">
        <v>17657828</v>
      </c>
      <c r="D53" s="191">
        <v>18296045</v>
      </c>
      <c r="E53" s="191">
        <v>19130805</v>
      </c>
      <c r="F53" s="191">
        <v>9774280</v>
      </c>
      <c r="G53" s="191">
        <v>9805042</v>
      </c>
      <c r="H53" s="191">
        <v>20170530</v>
      </c>
      <c r="I53" s="191">
        <v>20924688</v>
      </c>
      <c r="J53" s="191">
        <v>5253256.5</v>
      </c>
      <c r="K53" s="191">
        <v>5253256.5</v>
      </c>
      <c r="L53" s="191">
        <f>16404681-L54</f>
        <v>15755874</v>
      </c>
      <c r="N53" s="205">
        <f>21872908-N54</f>
        <v>21004051</v>
      </c>
      <c r="O53" s="205">
        <f>21872908-O54</f>
        <v>21000184</v>
      </c>
      <c r="P53" s="205">
        <f>21872908-P54</f>
        <v>20998008</v>
      </c>
      <c r="Q53" s="205">
        <f>21872908-Q54</f>
        <v>20998008</v>
      </c>
      <c r="R53" s="205">
        <f>Q53</f>
        <v>20998008</v>
      </c>
    </row>
    <row r="54" spans="1:18" ht="15.75">
      <c r="A54" s="192" t="s">
        <v>85</v>
      </c>
      <c r="B54" s="190"/>
      <c r="C54" s="190"/>
      <c r="D54" s="190"/>
      <c r="E54" s="191"/>
      <c r="F54" s="191"/>
      <c r="G54" s="191"/>
      <c r="H54" s="191"/>
      <c r="I54" s="191"/>
      <c r="J54" s="191"/>
      <c r="K54" s="191">
        <f>859882</f>
        <v>859882</v>
      </c>
      <c r="L54" s="191">
        <v>648807</v>
      </c>
      <c r="N54" s="205">
        <v>868857</v>
      </c>
      <c r="O54" s="205">
        <v>872724</v>
      </c>
      <c r="P54" s="205">
        <f>656175*12/9</f>
        <v>874900</v>
      </c>
      <c r="Q54" s="205">
        <f>P54</f>
        <v>874900</v>
      </c>
      <c r="R54" s="205">
        <f>Q54</f>
        <v>874900</v>
      </c>
    </row>
    <row r="55" spans="1:18" ht="15.75">
      <c r="A55" s="190" t="s">
        <v>11</v>
      </c>
      <c r="B55" s="191">
        <v>4603637</v>
      </c>
      <c r="C55" s="191">
        <v>4561952</v>
      </c>
      <c r="D55" s="191">
        <v>5130509</v>
      </c>
      <c r="E55" s="191">
        <v>5637124</v>
      </c>
      <c r="F55" s="191">
        <v>2893809</v>
      </c>
      <c r="G55" s="191">
        <v>2865466.5</v>
      </c>
      <c r="H55" s="191">
        <v>5910788</v>
      </c>
      <c r="I55" s="191">
        <v>6127240</v>
      </c>
      <c r="J55" s="191">
        <v>1538293.75</v>
      </c>
      <c r="K55" s="191">
        <v>1538293.75</v>
      </c>
      <c r="L55" s="191">
        <f>4858881.25-L56</f>
        <v>4613407.25</v>
      </c>
      <c r="N55" s="205">
        <f>6479172-N56</f>
        <v>6150405</v>
      </c>
      <c r="O55" s="205">
        <f>6479047-O56</f>
        <v>6148855</v>
      </c>
      <c r="P55" s="205">
        <f>6479047-P56</f>
        <v>6148031</v>
      </c>
      <c r="Q55" s="205">
        <f>6479047-Q56</f>
        <v>6148031</v>
      </c>
      <c r="R55" s="205">
        <f>Q55</f>
        <v>6148031</v>
      </c>
    </row>
    <row r="56" spans="1:18" ht="15.75">
      <c r="A56" s="192" t="s">
        <v>86</v>
      </c>
      <c r="B56" s="190"/>
      <c r="C56" s="190"/>
      <c r="D56" s="190"/>
      <c r="E56" s="191"/>
      <c r="F56" s="191"/>
      <c r="G56" s="191"/>
      <c r="H56" s="193"/>
      <c r="I56" s="193"/>
      <c r="J56" s="193"/>
      <c r="K56" s="191">
        <f>325333</f>
        <v>325333</v>
      </c>
      <c r="L56" s="191">
        <v>245474</v>
      </c>
      <c r="N56" s="191">
        <v>328767</v>
      </c>
      <c r="O56" s="191">
        <v>330192</v>
      </c>
      <c r="P56" s="191">
        <f>248262*12/9</f>
        <v>331016</v>
      </c>
      <c r="Q56" s="191">
        <f>P56</f>
        <v>331016</v>
      </c>
      <c r="R56" s="191">
        <f>Q56</f>
        <v>331016</v>
      </c>
    </row>
    <row r="57" spans="1:18" ht="15.75">
      <c r="A57" s="190" t="s">
        <v>17</v>
      </c>
      <c r="B57" s="191">
        <v>4534323</v>
      </c>
      <c r="C57" s="191">
        <v>4590976</v>
      </c>
      <c r="D57" s="191">
        <v>6040438</v>
      </c>
      <c r="E57" s="191">
        <v>7457509</v>
      </c>
      <c r="F57" s="191">
        <v>4103355</v>
      </c>
      <c r="G57" s="191">
        <v>4216837</v>
      </c>
      <c r="H57" s="191">
        <v>9097365</v>
      </c>
      <c r="I57" s="191">
        <v>9798142</v>
      </c>
      <c r="J57" s="191">
        <v>2471136</v>
      </c>
      <c r="K57" s="191" t="s">
        <v>94</v>
      </c>
      <c r="L57" s="191" t="s">
        <v>94</v>
      </c>
      <c r="N57" s="191" t="s">
        <v>94</v>
      </c>
      <c r="O57" s="191" t="s">
        <v>94</v>
      </c>
      <c r="P57" s="191" t="s">
        <v>94</v>
      </c>
      <c r="Q57" s="191" t="s">
        <v>94</v>
      </c>
      <c r="R57" s="191" t="s">
        <v>94</v>
      </c>
    </row>
    <row r="58" spans="1:18" ht="15.75">
      <c r="A58" s="190"/>
      <c r="B58" s="190"/>
      <c r="C58" s="190"/>
      <c r="D58" s="190"/>
      <c r="E58" s="194"/>
      <c r="F58" s="194"/>
      <c r="G58" s="194"/>
      <c r="H58" s="194"/>
      <c r="I58" s="194"/>
      <c r="J58" s="194"/>
      <c r="K58" s="194"/>
      <c r="L58" s="194"/>
      <c r="N58" s="194"/>
      <c r="O58" s="194"/>
      <c r="P58" s="194"/>
      <c r="Q58" s="194"/>
      <c r="R58" s="194"/>
    </row>
    <row r="59" spans="1:18" ht="21.75" customHeight="1">
      <c r="A59" s="190" t="s">
        <v>12</v>
      </c>
      <c r="B59" s="191">
        <v>3276258</v>
      </c>
      <c r="C59" s="191">
        <v>3295069</v>
      </c>
      <c r="D59" s="191">
        <v>2976138</v>
      </c>
      <c r="E59" s="191">
        <v>2997261</v>
      </c>
      <c r="F59" s="191">
        <v>1567102</v>
      </c>
      <c r="G59" s="191">
        <v>1585683.8762539262</v>
      </c>
      <c r="H59" s="191">
        <v>3305705.3228734606</v>
      </c>
      <c r="I59" s="191">
        <v>3493301.498141473</v>
      </c>
      <c r="J59" s="191">
        <v>903867.9382511959</v>
      </c>
      <c r="K59" s="191" t="s">
        <v>94</v>
      </c>
      <c r="L59" s="191" t="s">
        <v>94</v>
      </c>
      <c r="N59" s="191" t="s">
        <v>94</v>
      </c>
      <c r="O59" s="191" t="s">
        <v>94</v>
      </c>
      <c r="P59" s="191" t="s">
        <v>94</v>
      </c>
      <c r="Q59" s="191" t="s">
        <v>94</v>
      </c>
      <c r="R59" s="191" t="s">
        <v>94</v>
      </c>
    </row>
    <row r="60" spans="1:18" ht="21.75" customHeight="1">
      <c r="A60" s="190"/>
      <c r="B60" s="190"/>
      <c r="C60" s="190"/>
      <c r="D60" s="190"/>
      <c r="E60" s="191"/>
      <c r="F60" s="191"/>
      <c r="G60" s="191"/>
      <c r="H60" s="191"/>
      <c r="I60" s="191"/>
      <c r="J60" s="191"/>
      <c r="K60" s="191"/>
      <c r="L60" s="191"/>
      <c r="N60" s="191"/>
      <c r="O60" s="191"/>
      <c r="P60" s="191"/>
      <c r="Q60" s="191"/>
      <c r="R60" s="191"/>
    </row>
    <row r="61" spans="1:18" ht="21.75" customHeight="1">
      <c r="A61" s="190" t="s">
        <v>15</v>
      </c>
      <c r="B61" s="191">
        <v>1908233</v>
      </c>
      <c r="C61" s="191">
        <v>1941703</v>
      </c>
      <c r="D61" s="191">
        <v>1275271</v>
      </c>
      <c r="E61" s="191">
        <v>894873</v>
      </c>
      <c r="F61" s="191">
        <v>430909</v>
      </c>
      <c r="G61" s="191">
        <v>439524.40807846875</v>
      </c>
      <c r="H61" s="191">
        <v>927125.1202915332</v>
      </c>
      <c r="I61" s="191">
        <v>995132.0049724133</v>
      </c>
      <c r="J61" s="191">
        <v>259985.45051427014</v>
      </c>
      <c r="K61" s="191" t="s">
        <v>94</v>
      </c>
      <c r="L61" s="191" t="s">
        <v>94</v>
      </c>
      <c r="N61" s="191" t="s">
        <v>94</v>
      </c>
      <c r="O61" s="191" t="s">
        <v>94</v>
      </c>
      <c r="P61" s="191" t="s">
        <v>94</v>
      </c>
      <c r="Q61" s="191" t="s">
        <v>94</v>
      </c>
      <c r="R61" s="191" t="s">
        <v>94</v>
      </c>
    </row>
    <row r="62" spans="1:18" ht="21.75" customHeight="1">
      <c r="A62" s="190"/>
      <c r="B62" s="190"/>
      <c r="C62" s="190"/>
      <c r="D62" s="190"/>
      <c r="E62" s="191"/>
      <c r="F62" s="191"/>
      <c r="G62" s="191"/>
      <c r="H62" s="191"/>
      <c r="I62" s="191"/>
      <c r="J62" s="191"/>
      <c r="K62" s="191"/>
      <c r="L62" s="191"/>
      <c r="N62" s="191"/>
      <c r="O62" s="191"/>
      <c r="P62" s="191"/>
      <c r="Q62" s="191"/>
      <c r="R62" s="191"/>
    </row>
    <row r="63" spans="1:18" ht="15" hidden="1">
      <c r="A63" s="195"/>
      <c r="B63" s="195"/>
      <c r="C63" s="195"/>
      <c r="D63" s="195"/>
      <c r="E63" s="196"/>
      <c r="F63" s="196">
        <f>+Summary!G25/BN_PMPM_MM!F59</f>
        <v>320.68103694874003</v>
      </c>
      <c r="G63" s="196">
        <f>+Summary!H25/BN_PMPM_MM!G59</f>
        <v>348.9909065424946</v>
      </c>
      <c r="H63" s="196">
        <f>+Summary!I25/BN_PMPM_MM!H59</f>
        <v>354.85865321137646</v>
      </c>
      <c r="I63" s="196">
        <f>+Summary!J25/BN_PMPM_MM!I59</f>
        <v>375.99106115685004</v>
      </c>
      <c r="J63" s="196">
        <f>+Summary!N25/BN_PMPM_MM!J59</f>
        <v>8254.849509457808</v>
      </c>
      <c r="K63" s="196"/>
      <c r="L63" s="196"/>
      <c r="N63" s="196"/>
      <c r="O63" s="196"/>
      <c r="P63" s="196"/>
      <c r="Q63" s="196"/>
      <c r="R63" s="196"/>
    </row>
    <row r="64" spans="1:18" ht="15" hidden="1">
      <c r="A64" s="195"/>
      <c r="B64" s="195"/>
      <c r="C64" s="195"/>
      <c r="D64" s="195"/>
      <c r="E64" s="196"/>
      <c r="F64" s="196" t="e">
        <f>+Summary!G27/BN_PMPM_MM!F60</f>
        <v>#DIV/0!</v>
      </c>
      <c r="G64" s="196" t="e">
        <f>+Summary!H27/BN_PMPM_MM!G60</f>
        <v>#DIV/0!</v>
      </c>
      <c r="H64" s="196" t="e">
        <f>+Summary!I27/BN_PMPM_MM!H60</f>
        <v>#DIV/0!</v>
      </c>
      <c r="I64" s="196" t="e">
        <f>+Summary!J27/BN_PMPM_MM!I60</f>
        <v>#DIV/0!</v>
      </c>
      <c r="J64" s="196" t="e">
        <f>+Summary!N27/BN_PMPM_MM!J60</f>
        <v>#DIV/0!</v>
      </c>
      <c r="K64" s="196"/>
      <c r="L64" s="196" t="s">
        <v>94</v>
      </c>
      <c r="N64" s="196" t="s">
        <v>94</v>
      </c>
      <c r="O64" s="196" t="s">
        <v>94</v>
      </c>
      <c r="P64" s="196" t="s">
        <v>94</v>
      </c>
      <c r="Q64" s="196" t="s">
        <v>94</v>
      </c>
      <c r="R64" s="196" t="s">
        <v>94</v>
      </c>
    </row>
    <row r="65" spans="1:18" ht="15" hidden="1">
      <c r="A65" s="195"/>
      <c r="B65" s="195"/>
      <c r="C65" s="195"/>
      <c r="D65" s="195"/>
      <c r="E65" s="197"/>
      <c r="F65" s="197">
        <f>+Summary!G26/BN_PMPM_MM!F61</f>
        <v>361.75246955724856</v>
      </c>
      <c r="G65" s="197">
        <f>+Summary!H26/BN_PMPM_MM!G61</f>
        <v>394.9159765490751</v>
      </c>
      <c r="H65" s="197">
        <f>+Summary!I26/BN_PMPM_MM!H61</f>
        <v>380.6326704304404</v>
      </c>
      <c r="I65" s="197">
        <f>+Summary!J26/BN_PMPM_MM!I61</f>
        <v>403.0034665464344</v>
      </c>
      <c r="J65" s="197">
        <f>+Summary!N26/BN_PMPM_MM!J61</f>
        <v>11834.708238958121</v>
      </c>
      <c r="K65" s="197"/>
      <c r="L65" s="197"/>
      <c r="N65" s="197"/>
      <c r="O65" s="197"/>
      <c r="P65" s="197"/>
      <c r="Q65" s="197"/>
      <c r="R65" s="197"/>
    </row>
    <row r="66" spans="1:18" ht="15" hidden="1">
      <c r="A66" s="195"/>
      <c r="B66" s="195"/>
      <c r="C66" s="195"/>
      <c r="D66" s="195"/>
      <c r="E66" s="197"/>
      <c r="F66" s="197" t="e">
        <f>+Summary!G28/BN_PMPM_MM!F62</f>
        <v>#DIV/0!</v>
      </c>
      <c r="G66" s="197" t="e">
        <f>+Summary!H28/BN_PMPM_MM!G62</f>
        <v>#DIV/0!</v>
      </c>
      <c r="H66" s="197" t="e">
        <f>+Summary!I28/BN_PMPM_MM!H62</f>
        <v>#DIV/0!</v>
      </c>
      <c r="I66" s="197" t="e">
        <f>+Summary!J28/BN_PMPM_MM!I62</f>
        <v>#DIV/0!</v>
      </c>
      <c r="J66" s="197" t="e">
        <f>+Summary!N28/BN_PMPM_MM!J62</f>
        <v>#DIV/0!</v>
      </c>
      <c r="K66" s="197"/>
      <c r="L66" s="197" t="s">
        <v>94</v>
      </c>
      <c r="N66" s="197" t="s">
        <v>94</v>
      </c>
      <c r="O66" s="197" t="s">
        <v>94</v>
      </c>
      <c r="P66" s="197" t="s">
        <v>94</v>
      </c>
      <c r="Q66" s="197" t="s">
        <v>94</v>
      </c>
      <c r="R66" s="197" t="s">
        <v>94</v>
      </c>
    </row>
    <row r="67" spans="1:18" ht="15.75">
      <c r="A67" s="190" t="s">
        <v>58</v>
      </c>
      <c r="B67" s="191">
        <v>597505</v>
      </c>
      <c r="C67" s="191">
        <v>453527</v>
      </c>
      <c r="D67" s="191">
        <v>456734</v>
      </c>
      <c r="E67" s="191">
        <v>484984</v>
      </c>
      <c r="F67" s="191">
        <v>254090</v>
      </c>
      <c r="G67" s="191">
        <v>254090</v>
      </c>
      <c r="H67" s="191">
        <v>508180</v>
      </c>
      <c r="I67" s="191">
        <v>84696.66666666667</v>
      </c>
      <c r="J67" s="198" t="s">
        <v>94</v>
      </c>
      <c r="K67" s="198" t="s">
        <v>94</v>
      </c>
      <c r="L67" s="198" t="s">
        <v>94</v>
      </c>
      <c r="N67" s="198" t="s">
        <v>94</v>
      </c>
      <c r="O67" s="198" t="s">
        <v>94</v>
      </c>
      <c r="P67" s="198" t="s">
        <v>94</v>
      </c>
      <c r="Q67" s="198" t="s">
        <v>94</v>
      </c>
      <c r="R67" s="198" t="s">
        <v>94</v>
      </c>
    </row>
    <row r="68" spans="1:18" ht="15">
      <c r="A68" s="195"/>
      <c r="B68" s="195"/>
      <c r="C68" s="195"/>
      <c r="D68" s="195"/>
      <c r="E68" s="195"/>
      <c r="F68" s="195"/>
      <c r="G68" s="195"/>
      <c r="H68" s="193"/>
      <c r="I68" s="193"/>
      <c r="J68" s="193"/>
      <c r="K68" s="193"/>
      <c r="L68" s="193"/>
      <c r="N68" s="193"/>
      <c r="O68" s="193"/>
      <c r="P68" s="193"/>
      <c r="Q68" s="193"/>
      <c r="R68" s="193"/>
    </row>
    <row r="69" spans="1:18" ht="15.75">
      <c r="A69" s="190" t="s">
        <v>67</v>
      </c>
      <c r="B69" s="190"/>
      <c r="C69" s="190"/>
      <c r="D69" s="190"/>
      <c r="E69" s="191"/>
      <c r="F69" s="191"/>
      <c r="G69" s="191"/>
      <c r="H69" s="191">
        <v>61704</v>
      </c>
      <c r="I69" s="191">
        <v>253220</v>
      </c>
      <c r="J69" s="191">
        <v>63401</v>
      </c>
      <c r="K69" s="191">
        <v>63401</v>
      </c>
      <c r="L69" s="191">
        <v>197543.5</v>
      </c>
      <c r="N69" s="205">
        <v>282146</v>
      </c>
      <c r="O69" s="205">
        <v>324670</v>
      </c>
      <c r="P69" s="205">
        <v>325184</v>
      </c>
      <c r="Q69" s="205">
        <v>325388</v>
      </c>
      <c r="R69" s="205">
        <f>Q69</f>
        <v>325388</v>
      </c>
    </row>
    <row r="70" spans="1:18" ht="15">
      <c r="A70" s="195"/>
      <c r="B70" s="195"/>
      <c r="C70" s="195"/>
      <c r="D70" s="195"/>
      <c r="E70" s="195"/>
      <c r="F70" s="199"/>
      <c r="G70" s="199"/>
      <c r="H70" s="193"/>
      <c r="I70" s="193"/>
      <c r="J70" s="193"/>
      <c r="K70" s="193"/>
      <c r="L70" s="193"/>
      <c r="N70" s="205"/>
      <c r="O70" s="205"/>
      <c r="P70" s="205"/>
      <c r="Q70" s="205"/>
      <c r="R70" s="205"/>
    </row>
    <row r="71" spans="1:18" ht="15.75">
      <c r="A71" s="190" t="s">
        <v>68</v>
      </c>
      <c r="B71" s="191"/>
      <c r="C71" s="191"/>
      <c r="D71" s="191"/>
      <c r="E71" s="191"/>
      <c r="F71" s="191"/>
      <c r="G71" s="191"/>
      <c r="H71" s="191">
        <v>538619</v>
      </c>
      <c r="I71" s="191">
        <v>2210390</v>
      </c>
      <c r="J71" s="191">
        <v>553435</v>
      </c>
      <c r="K71" s="191">
        <v>553435</v>
      </c>
      <c r="L71" s="191">
        <v>1733039.5</v>
      </c>
      <c r="N71" s="205">
        <v>2497534</v>
      </c>
      <c r="O71" s="205">
        <v>2915916</v>
      </c>
      <c r="P71" s="205">
        <v>2920408</v>
      </c>
      <c r="Q71" s="205">
        <v>2922192</v>
      </c>
      <c r="R71" s="205">
        <f>Q71</f>
        <v>2922192</v>
      </c>
    </row>
    <row r="72" spans="1:18" ht="15">
      <c r="A72" s="195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N72" s="191"/>
      <c r="O72" s="191"/>
      <c r="P72" s="191"/>
      <c r="Q72" s="191"/>
      <c r="R72" s="191"/>
    </row>
    <row r="73" spans="1:18" ht="78.75">
      <c r="A73" s="200" t="s">
        <v>155</v>
      </c>
      <c r="B73" s="201" t="s">
        <v>162</v>
      </c>
      <c r="C73" s="191"/>
      <c r="D73" s="191"/>
      <c r="E73" s="191"/>
      <c r="F73" s="191"/>
      <c r="G73" s="191"/>
      <c r="H73" s="191"/>
      <c r="I73" s="191"/>
      <c r="J73" s="191"/>
      <c r="K73" s="191">
        <v>3373458.987539943</v>
      </c>
      <c r="L73" s="191">
        <f>2575629.74065496-SUM('New adult group - member months'!G7:O7)</f>
        <v>2547252.74065496</v>
      </c>
      <c r="M73" s="195" t="s">
        <v>161</v>
      </c>
      <c r="N73" s="191">
        <v>1858121.7966078948</v>
      </c>
      <c r="O73" s="191">
        <v>1752140.6003019973</v>
      </c>
      <c r="P73" s="191">
        <f>1240953.63851166*12/9</f>
        <v>1654604.85134888</v>
      </c>
      <c r="Q73" s="191">
        <f aca="true" t="shared" si="2" ref="Q73:Q78">P73</f>
        <v>1654604.85134888</v>
      </c>
      <c r="R73" s="191">
        <f aca="true" t="shared" si="3" ref="R73:R78">Q73</f>
        <v>1654604.85134888</v>
      </c>
    </row>
    <row r="74" spans="1:18" ht="78.75">
      <c r="A74" s="200" t="s">
        <v>156</v>
      </c>
      <c r="B74" s="201" t="s">
        <v>162</v>
      </c>
      <c r="C74" s="191"/>
      <c r="D74" s="191"/>
      <c r="E74" s="191"/>
      <c r="F74" s="191"/>
      <c r="G74" s="191"/>
      <c r="H74" s="191"/>
      <c r="I74" s="191"/>
      <c r="J74" s="191"/>
      <c r="K74" s="191">
        <v>1470121.0124600572</v>
      </c>
      <c r="L74" s="191">
        <v>1102590.7593450428</v>
      </c>
      <c r="N74" s="191">
        <v>3094796.453392105</v>
      </c>
      <c r="O74" s="191">
        <v>3231253.3996980027</v>
      </c>
      <c r="P74" s="191">
        <f>2512319.36148834*12/9</f>
        <v>3349759.14865112</v>
      </c>
      <c r="Q74" s="191">
        <f t="shared" si="2"/>
        <v>3349759.14865112</v>
      </c>
      <c r="R74" s="191">
        <f t="shared" si="3"/>
        <v>3349759.14865112</v>
      </c>
    </row>
    <row r="75" spans="1:18" ht="63">
      <c r="A75" s="200" t="s">
        <v>157</v>
      </c>
      <c r="B75" s="201" t="s">
        <v>162</v>
      </c>
      <c r="C75" s="191"/>
      <c r="D75" s="191"/>
      <c r="E75" s="191"/>
      <c r="F75" s="191"/>
      <c r="G75" s="191"/>
      <c r="H75" s="191"/>
      <c r="I75" s="191"/>
      <c r="J75" s="191"/>
      <c r="K75" s="191">
        <v>241302.5393912567</v>
      </c>
      <c r="L75" s="191">
        <v>182847.40454344254</v>
      </c>
      <c r="N75" s="191">
        <v>67340.93090655492</v>
      </c>
      <c r="O75" s="191">
        <v>53280.377426933264</v>
      </c>
      <c r="P75" s="191">
        <f>30733.6574147247*12/9</f>
        <v>40978.2098862996</v>
      </c>
      <c r="Q75" s="191">
        <f t="shared" si="2"/>
        <v>40978.2098862996</v>
      </c>
      <c r="R75" s="191">
        <f t="shared" si="3"/>
        <v>40978.2098862996</v>
      </c>
    </row>
    <row r="76" spans="1:18" ht="63">
      <c r="A76" s="200" t="s">
        <v>158</v>
      </c>
      <c r="B76" s="201" t="s">
        <v>162</v>
      </c>
      <c r="C76" s="191"/>
      <c r="D76" s="191"/>
      <c r="E76" s="191"/>
      <c r="F76" s="191"/>
      <c r="G76" s="191"/>
      <c r="H76" s="191"/>
      <c r="I76" s="191"/>
      <c r="J76" s="191"/>
      <c r="K76" s="191">
        <v>161215.4606087433</v>
      </c>
      <c r="L76" s="191">
        <v>120911.59545655748</v>
      </c>
      <c r="N76" s="191">
        <v>339379.5690934451</v>
      </c>
      <c r="O76" s="191">
        <v>354343.62257306674</v>
      </c>
      <c r="P76" s="191">
        <f>275504.342585275*12/9</f>
        <v>367339.12344703334</v>
      </c>
      <c r="Q76" s="191">
        <f t="shared" si="2"/>
        <v>367339.12344703334</v>
      </c>
      <c r="R76" s="191">
        <f t="shared" si="3"/>
        <v>367339.12344703334</v>
      </c>
    </row>
    <row r="77" spans="1:18" ht="15.75">
      <c r="A77" s="200" t="s">
        <v>159</v>
      </c>
      <c r="B77" s="201" t="s">
        <v>162</v>
      </c>
      <c r="C77" s="191"/>
      <c r="D77" s="191"/>
      <c r="E77" s="191"/>
      <c r="F77" s="191"/>
      <c r="G77" s="191"/>
      <c r="H77" s="191"/>
      <c r="I77" s="191"/>
      <c r="J77" s="191"/>
      <c r="K77" s="191">
        <v>9124</v>
      </c>
      <c r="L77" s="191">
        <v>27718</v>
      </c>
      <c r="N77" s="191">
        <v>37545</v>
      </c>
      <c r="O77" s="191">
        <v>37935.5</v>
      </c>
      <c r="P77" s="191">
        <v>38169</v>
      </c>
      <c r="Q77" s="191">
        <f t="shared" si="2"/>
        <v>38169</v>
      </c>
      <c r="R77" s="191">
        <f t="shared" si="3"/>
        <v>38169</v>
      </c>
    </row>
    <row r="78" spans="1:18" ht="15.75">
      <c r="A78" s="200" t="s">
        <v>160</v>
      </c>
      <c r="B78" s="201" t="s">
        <v>162</v>
      </c>
      <c r="C78" s="191"/>
      <c r="D78" s="191"/>
      <c r="E78" s="191"/>
      <c r="F78" s="191"/>
      <c r="G78" s="191"/>
      <c r="H78" s="191"/>
      <c r="I78" s="191"/>
      <c r="J78" s="191"/>
      <c r="K78" s="191">
        <v>2654.75</v>
      </c>
      <c r="L78" s="191">
        <v>8066</v>
      </c>
      <c r="N78" s="191">
        <v>10923.5</v>
      </c>
      <c r="O78" s="191">
        <v>11037</v>
      </c>
      <c r="P78" s="191">
        <v>11107.5</v>
      </c>
      <c r="Q78" s="191">
        <f t="shared" si="2"/>
        <v>11107.5</v>
      </c>
      <c r="R78" s="191">
        <f t="shared" si="3"/>
        <v>11107.5</v>
      </c>
    </row>
    <row r="81" ht="15">
      <c r="A81" s="15" t="s">
        <v>163</v>
      </c>
    </row>
    <row r="83" ht="15">
      <c r="A83" s="15" t="s">
        <v>164</v>
      </c>
    </row>
  </sheetData>
  <sheetProtection/>
  <printOptions horizontalCentered="1"/>
  <pageMargins left="0.25" right="0.25" top="0.25" bottom="0.25" header="0.5" footer="0.5"/>
  <pageSetup cellComments="asDisplayed" horizontalDpi="600" verticalDpi="600" orientation="landscape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2">
      <selection activeCell="I20" sqref="I20"/>
    </sheetView>
  </sheetViews>
  <sheetFormatPr defaultColWidth="9.140625" defaultRowHeight="12.75"/>
  <cols>
    <col min="1" max="1" width="37.57421875" style="137" customWidth="1"/>
    <col min="2" max="7" width="18.8515625" style="137" customWidth="1"/>
    <col min="8" max="16384" width="9.140625" style="137" customWidth="1"/>
  </cols>
  <sheetData>
    <row r="1" spans="1:2" ht="12.75">
      <c r="A1" s="135" t="s">
        <v>104</v>
      </c>
      <c r="B1" s="136"/>
    </row>
    <row r="2" spans="1:2" ht="12.75">
      <c r="A2" s="138" t="s">
        <v>105</v>
      </c>
      <c r="B2" s="139"/>
    </row>
    <row r="3" spans="1:2" ht="12.75">
      <c r="A3" s="140"/>
      <c r="B3" s="139"/>
    </row>
    <row r="4" spans="1:2" ht="12.75">
      <c r="A4" s="140"/>
      <c r="B4" s="139"/>
    </row>
    <row r="5" spans="1:7" ht="38.25" customHeight="1">
      <c r="A5" s="141" t="s">
        <v>106</v>
      </c>
      <c r="B5" s="142" t="s">
        <v>179</v>
      </c>
      <c r="C5" s="206" t="s">
        <v>174</v>
      </c>
      <c r="D5" s="206" t="s">
        <v>175</v>
      </c>
      <c r="E5" s="206" t="s">
        <v>176</v>
      </c>
      <c r="F5" s="206" t="s">
        <v>177</v>
      </c>
      <c r="G5" s="206" t="s">
        <v>178</v>
      </c>
    </row>
    <row r="6" spans="1:7" ht="12.75">
      <c r="A6" s="143"/>
      <c r="B6" s="139"/>
      <c r="C6" s="139"/>
      <c r="D6" s="139"/>
      <c r="E6" s="139"/>
      <c r="F6" s="139"/>
      <c r="G6" s="139"/>
    </row>
    <row r="7" spans="1:7" ht="12.75">
      <c r="A7" s="138" t="s">
        <v>107</v>
      </c>
      <c r="B7" s="144">
        <v>722.57</v>
      </c>
      <c r="C7" s="144">
        <v>768.81</v>
      </c>
      <c r="D7" s="144">
        <v>818.01</v>
      </c>
      <c r="E7" s="144">
        <v>870.36</v>
      </c>
      <c r="F7" s="144">
        <v>926.06</v>
      </c>
      <c r="G7" s="144">
        <v>985.33</v>
      </c>
    </row>
    <row r="8" spans="1:7" ht="12.75">
      <c r="A8" s="145"/>
      <c r="B8" s="145"/>
      <c r="C8" s="145"/>
      <c r="D8" s="145"/>
      <c r="E8" s="145"/>
      <c r="F8" s="145"/>
      <c r="G8" s="145"/>
    </row>
    <row r="9" spans="1:7" ht="12.75">
      <c r="A9" s="138" t="s">
        <v>108</v>
      </c>
      <c r="B9" s="146">
        <f>'New adult group - member months'!P9</f>
        <v>18245631</v>
      </c>
      <c r="C9" s="146">
        <f>'New adult group - member months'!AC9</f>
        <v>25767255</v>
      </c>
      <c r="D9" s="146">
        <f>'New adult group - member months'!AP9</f>
        <v>25840380</v>
      </c>
      <c r="E9" s="146">
        <f>'New adult group - member months'!BC9</f>
        <v>25840380</v>
      </c>
      <c r="F9" s="146">
        <f>'New adult group - member months'!BP9</f>
        <v>25840380</v>
      </c>
      <c r="G9" s="146">
        <f>'New adult group - member months'!CC9</f>
        <v>25840380</v>
      </c>
    </row>
    <row r="10" spans="1:7" ht="12.75">
      <c r="A10" s="138"/>
      <c r="B10" s="144"/>
      <c r="C10" s="144"/>
      <c r="D10" s="144"/>
      <c r="E10" s="144"/>
      <c r="F10" s="144"/>
      <c r="G10" s="144"/>
    </row>
    <row r="11" spans="1:7" ht="12.75">
      <c r="A11" s="138" t="s">
        <v>109</v>
      </c>
      <c r="B11" s="147">
        <f aca="true" t="shared" si="0" ref="B11:G11">B7*B9</f>
        <v>13183745591.67</v>
      </c>
      <c r="C11" s="147">
        <f t="shared" si="0"/>
        <v>19810123316.55</v>
      </c>
      <c r="D11" s="147">
        <f t="shared" si="0"/>
        <v>21137689243.8</v>
      </c>
      <c r="E11" s="147">
        <f t="shared" si="0"/>
        <v>22490433136.8</v>
      </c>
      <c r="F11" s="147">
        <f t="shared" si="0"/>
        <v>23929742302.8</v>
      </c>
      <c r="G11" s="147">
        <f t="shared" si="0"/>
        <v>25461301625.4</v>
      </c>
    </row>
    <row r="12" spans="1:7" ht="12.75">
      <c r="A12" s="148"/>
      <c r="B12" s="144"/>
      <c r="C12" s="144"/>
      <c r="D12" s="144"/>
      <c r="E12" s="144"/>
      <c r="F12" s="144"/>
      <c r="G12" s="144"/>
    </row>
    <row r="13" spans="1:7" ht="12.75">
      <c r="A13" s="149"/>
      <c r="B13" s="147"/>
      <c r="C13" s="147"/>
      <c r="D13" s="147"/>
      <c r="E13" s="147"/>
      <c r="F13" s="147"/>
      <c r="G13" s="147"/>
    </row>
    <row r="14" spans="1:7" ht="38.25">
      <c r="A14" s="150" t="s">
        <v>110</v>
      </c>
      <c r="B14" s="151" t="str">
        <f>B5</f>
        <v>DY 16 b and c (1/1/2014 - 12/31/2014)</v>
      </c>
      <c r="C14" s="206" t="s">
        <v>174</v>
      </c>
      <c r="D14" s="206" t="s">
        <v>175</v>
      </c>
      <c r="E14" s="206" t="s">
        <v>176</v>
      </c>
      <c r="F14" s="206" t="s">
        <v>177</v>
      </c>
      <c r="G14" s="206" t="s">
        <v>178</v>
      </c>
    </row>
    <row r="15" spans="1:7" ht="12.75">
      <c r="A15" s="152"/>
      <c r="B15" s="147"/>
      <c r="C15" s="147"/>
      <c r="D15" s="147"/>
      <c r="E15" s="147"/>
      <c r="F15" s="147"/>
      <c r="G15" s="147"/>
    </row>
    <row r="16" spans="1:7" ht="12.75">
      <c r="A16" s="138" t="s">
        <v>111</v>
      </c>
      <c r="B16" s="144">
        <f aca="true" t="shared" si="1" ref="B16:G16">B7</f>
        <v>722.57</v>
      </c>
      <c r="C16" s="144">
        <f t="shared" si="1"/>
        <v>768.81</v>
      </c>
      <c r="D16" s="144">
        <f t="shared" si="1"/>
        <v>818.01</v>
      </c>
      <c r="E16" s="144">
        <f t="shared" si="1"/>
        <v>870.36</v>
      </c>
      <c r="F16" s="144">
        <f t="shared" si="1"/>
        <v>926.06</v>
      </c>
      <c r="G16" s="144">
        <f t="shared" si="1"/>
        <v>985.33</v>
      </c>
    </row>
    <row r="17" spans="1:7" ht="12.75">
      <c r="A17" s="148"/>
      <c r="B17" s="144"/>
      <c r="C17" s="144"/>
      <c r="D17" s="144"/>
      <c r="E17" s="144"/>
      <c r="F17" s="144"/>
      <c r="G17" s="144"/>
    </row>
    <row r="18" spans="1:7" ht="12.75">
      <c r="A18" s="138" t="s">
        <v>108</v>
      </c>
      <c r="B18" s="146">
        <f aca="true" t="shared" si="2" ref="B18:G18">B9</f>
        <v>18245631</v>
      </c>
      <c r="C18" s="146">
        <f t="shared" si="2"/>
        <v>25767255</v>
      </c>
      <c r="D18" s="146">
        <f t="shared" si="2"/>
        <v>25840380</v>
      </c>
      <c r="E18" s="146">
        <f t="shared" si="2"/>
        <v>25840380</v>
      </c>
      <c r="F18" s="146">
        <f t="shared" si="2"/>
        <v>25840380</v>
      </c>
      <c r="G18" s="146">
        <f t="shared" si="2"/>
        <v>25840380</v>
      </c>
    </row>
    <row r="19" spans="1:7" ht="12.75">
      <c r="A19" s="138"/>
      <c r="B19" s="144"/>
      <c r="C19" s="144"/>
      <c r="D19" s="144"/>
      <c r="E19" s="144"/>
      <c r="F19" s="144"/>
      <c r="G19" s="144"/>
    </row>
    <row r="20" spans="1:7" ht="12.75">
      <c r="A20" s="138" t="s">
        <v>112</v>
      </c>
      <c r="B20" s="147">
        <f aca="true" t="shared" si="3" ref="B20:G20">B11</f>
        <v>13183745591.67</v>
      </c>
      <c r="C20" s="147">
        <f t="shared" si="3"/>
        <v>19810123316.55</v>
      </c>
      <c r="D20" s="147">
        <f t="shared" si="3"/>
        <v>21137689243.8</v>
      </c>
      <c r="E20" s="147">
        <f t="shared" si="3"/>
        <v>22490433136.8</v>
      </c>
      <c r="F20" s="147">
        <f t="shared" si="3"/>
        <v>23929742302.8</v>
      </c>
      <c r="G20" s="147">
        <f t="shared" si="3"/>
        <v>25461301625.4</v>
      </c>
    </row>
    <row r="21" spans="1:7" ht="12.75">
      <c r="A21" s="148"/>
      <c r="B21" s="144"/>
      <c r="C21" s="144"/>
      <c r="D21" s="144"/>
      <c r="E21" s="144"/>
      <c r="F21" s="144"/>
      <c r="G21" s="144"/>
    </row>
    <row r="22" spans="1:7" ht="12.75">
      <c r="A22" s="152"/>
      <c r="B22" s="147"/>
      <c r="C22" s="147"/>
      <c r="D22" s="147"/>
      <c r="E22" s="147"/>
      <c r="F22" s="147"/>
      <c r="G22" s="147"/>
    </row>
    <row r="23" spans="1:7" ht="38.25">
      <c r="A23" s="153" t="s">
        <v>113</v>
      </c>
      <c r="B23" s="154" t="str">
        <f>B14</f>
        <v>DY 16 b and c (1/1/2014 - 12/31/2014)</v>
      </c>
      <c r="C23" s="206" t="s">
        <v>174</v>
      </c>
      <c r="D23" s="206" t="s">
        <v>175</v>
      </c>
      <c r="E23" s="206" t="s">
        <v>176</v>
      </c>
      <c r="F23" s="206" t="s">
        <v>177</v>
      </c>
      <c r="G23" s="206" t="s">
        <v>178</v>
      </c>
    </row>
    <row r="24" spans="1:7" ht="12.75">
      <c r="A24" s="136"/>
      <c r="B24" s="155">
        <f aca="true" t="shared" si="4" ref="B24:G24">B11-B20</f>
        <v>0</v>
      </c>
      <c r="C24" s="155">
        <f t="shared" si="4"/>
        <v>0</v>
      </c>
      <c r="D24" s="155">
        <f t="shared" si="4"/>
        <v>0</v>
      </c>
      <c r="E24" s="155">
        <f t="shared" si="4"/>
        <v>0</v>
      </c>
      <c r="F24" s="155">
        <f t="shared" si="4"/>
        <v>0</v>
      </c>
      <c r="G24" s="155">
        <f t="shared" si="4"/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9.57421875" style="209" customWidth="1"/>
    <col min="2" max="2" width="13.00390625" style="209" customWidth="1"/>
    <col min="3" max="3" width="13.8515625" style="209" customWidth="1"/>
    <col min="4" max="15" width="10.140625" style="209" bestFit="1" customWidth="1"/>
    <col min="16" max="16" width="11.140625" style="209" bestFit="1" customWidth="1"/>
    <col min="17" max="28" width="10.140625" style="209" customWidth="1"/>
    <col min="29" max="29" width="11.140625" style="209" bestFit="1" customWidth="1"/>
    <col min="30" max="41" width="10.140625" style="209" customWidth="1"/>
    <col min="42" max="42" width="11.140625" style="209" bestFit="1" customWidth="1"/>
    <col min="43" max="54" width="10.140625" style="209" customWidth="1"/>
    <col min="55" max="55" width="11.140625" style="209" bestFit="1" customWidth="1"/>
    <col min="56" max="67" width="10.140625" style="209" customWidth="1"/>
    <col min="68" max="68" width="11.140625" style="209" bestFit="1" customWidth="1"/>
    <col min="69" max="80" width="10.140625" style="209" customWidth="1"/>
    <col min="81" max="81" width="11.140625" style="209" bestFit="1" customWidth="1"/>
    <col min="82" max="16384" width="8.8515625" style="209" customWidth="1"/>
  </cols>
  <sheetData>
    <row r="1" spans="1:3" ht="20.25">
      <c r="A1" s="207" t="s">
        <v>114</v>
      </c>
      <c r="B1" s="207"/>
      <c r="C1" s="208"/>
    </row>
    <row r="2" spans="2:81" ht="12.75" customHeight="1">
      <c r="B2" s="210"/>
      <c r="C2" s="210"/>
      <c r="D2" s="236" t="s">
        <v>115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 t="s">
        <v>180</v>
      </c>
      <c r="Q2" s="236" t="s">
        <v>115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7" t="s">
        <v>181</v>
      </c>
      <c r="AD2" s="236" t="s">
        <v>115</v>
      </c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7" t="s">
        <v>182</v>
      </c>
      <c r="AQ2" s="236" t="s">
        <v>115</v>
      </c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7" t="s">
        <v>183</v>
      </c>
      <c r="BD2" s="236" t="s">
        <v>115</v>
      </c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7" t="s">
        <v>184</v>
      </c>
      <c r="BQ2" s="236" t="s">
        <v>115</v>
      </c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7" t="s">
        <v>185</v>
      </c>
    </row>
    <row r="3" spans="2:81" ht="51.75" customHeight="1">
      <c r="B3" s="211" t="s">
        <v>89</v>
      </c>
      <c r="C3" s="211" t="s">
        <v>116</v>
      </c>
      <c r="D3" s="212">
        <v>41640</v>
      </c>
      <c r="E3" s="212">
        <v>41671</v>
      </c>
      <c r="F3" s="212">
        <v>41699</v>
      </c>
      <c r="G3" s="212">
        <v>41730</v>
      </c>
      <c r="H3" s="212">
        <v>41760</v>
      </c>
      <c r="I3" s="212">
        <v>41791</v>
      </c>
      <c r="J3" s="212">
        <v>41821</v>
      </c>
      <c r="K3" s="212">
        <v>41852</v>
      </c>
      <c r="L3" s="212">
        <v>41883</v>
      </c>
      <c r="M3" s="212">
        <v>41913</v>
      </c>
      <c r="N3" s="212">
        <v>41944</v>
      </c>
      <c r="O3" s="212">
        <v>41974</v>
      </c>
      <c r="P3" s="237"/>
      <c r="Q3" s="212">
        <v>42005</v>
      </c>
      <c r="R3" s="212">
        <v>42036</v>
      </c>
      <c r="S3" s="212">
        <v>42064</v>
      </c>
      <c r="T3" s="212">
        <v>42095</v>
      </c>
      <c r="U3" s="212">
        <v>42125</v>
      </c>
      <c r="V3" s="212">
        <v>42156</v>
      </c>
      <c r="W3" s="212">
        <v>42186</v>
      </c>
      <c r="X3" s="212">
        <v>42217</v>
      </c>
      <c r="Y3" s="212">
        <v>42248</v>
      </c>
      <c r="Z3" s="212">
        <v>42278</v>
      </c>
      <c r="AA3" s="212">
        <v>42309</v>
      </c>
      <c r="AB3" s="212">
        <v>42339</v>
      </c>
      <c r="AC3" s="237"/>
      <c r="AD3" s="212">
        <v>42370</v>
      </c>
      <c r="AE3" s="212">
        <v>42401</v>
      </c>
      <c r="AF3" s="212">
        <v>42430</v>
      </c>
      <c r="AG3" s="212">
        <v>42461</v>
      </c>
      <c r="AH3" s="212">
        <v>42491</v>
      </c>
      <c r="AI3" s="212">
        <v>42522</v>
      </c>
      <c r="AJ3" s="212">
        <v>42552</v>
      </c>
      <c r="AK3" s="212">
        <v>42583</v>
      </c>
      <c r="AL3" s="212">
        <v>42614</v>
      </c>
      <c r="AM3" s="212">
        <v>42644</v>
      </c>
      <c r="AN3" s="212">
        <v>42675</v>
      </c>
      <c r="AO3" s="212">
        <v>42705</v>
      </c>
      <c r="AP3" s="237"/>
      <c r="AQ3" s="212">
        <v>42736</v>
      </c>
      <c r="AR3" s="212">
        <v>42767</v>
      </c>
      <c r="AS3" s="212">
        <v>42795</v>
      </c>
      <c r="AT3" s="212">
        <v>42826</v>
      </c>
      <c r="AU3" s="212">
        <v>42856</v>
      </c>
      <c r="AV3" s="212">
        <v>42887</v>
      </c>
      <c r="AW3" s="212">
        <v>42917</v>
      </c>
      <c r="AX3" s="212">
        <v>42948</v>
      </c>
      <c r="AY3" s="212">
        <v>42979</v>
      </c>
      <c r="AZ3" s="212">
        <v>43009</v>
      </c>
      <c r="BA3" s="212">
        <v>43040</v>
      </c>
      <c r="BB3" s="212">
        <v>43070</v>
      </c>
      <c r="BC3" s="237"/>
      <c r="BD3" s="212">
        <v>43101</v>
      </c>
      <c r="BE3" s="212">
        <v>43132</v>
      </c>
      <c r="BF3" s="212">
        <v>43160</v>
      </c>
      <c r="BG3" s="212">
        <v>43191</v>
      </c>
      <c r="BH3" s="212">
        <v>43221</v>
      </c>
      <c r="BI3" s="212">
        <v>43252</v>
      </c>
      <c r="BJ3" s="212">
        <v>43282</v>
      </c>
      <c r="BK3" s="212">
        <v>43313</v>
      </c>
      <c r="BL3" s="212">
        <v>43344</v>
      </c>
      <c r="BM3" s="212">
        <v>43374</v>
      </c>
      <c r="BN3" s="212">
        <v>43405</v>
      </c>
      <c r="BO3" s="212">
        <v>43435</v>
      </c>
      <c r="BP3" s="237"/>
      <c r="BQ3" s="212">
        <v>43466</v>
      </c>
      <c r="BR3" s="212">
        <v>43497</v>
      </c>
      <c r="BS3" s="212">
        <v>43525</v>
      </c>
      <c r="BT3" s="212">
        <v>43556</v>
      </c>
      <c r="BU3" s="212">
        <v>43586</v>
      </c>
      <c r="BV3" s="212">
        <v>43617</v>
      </c>
      <c r="BW3" s="212">
        <v>43647</v>
      </c>
      <c r="BX3" s="212">
        <v>43678</v>
      </c>
      <c r="BY3" s="212">
        <v>43709</v>
      </c>
      <c r="BZ3" s="212">
        <v>43739</v>
      </c>
      <c r="CA3" s="212">
        <v>43770</v>
      </c>
      <c r="CB3" s="212">
        <v>43800</v>
      </c>
      <c r="CC3" s="237"/>
    </row>
    <row r="4" spans="1:81" ht="51.75" customHeight="1">
      <c r="A4" s="213" t="s">
        <v>117</v>
      </c>
      <c r="B4" s="156">
        <v>823712</v>
      </c>
      <c r="C4" s="214" t="s">
        <v>118</v>
      </c>
      <c r="D4" s="156">
        <f>B4</f>
        <v>823712</v>
      </c>
      <c r="E4" s="156">
        <f>D4</f>
        <v>823712</v>
      </c>
      <c r="F4" s="156">
        <f aca="true" t="shared" si="0" ref="F4:O4">E4</f>
        <v>823712</v>
      </c>
      <c r="G4" s="156">
        <f t="shared" si="0"/>
        <v>823712</v>
      </c>
      <c r="H4" s="156">
        <f t="shared" si="0"/>
        <v>823712</v>
      </c>
      <c r="I4" s="156">
        <f t="shared" si="0"/>
        <v>823712</v>
      </c>
      <c r="J4" s="156">
        <f t="shared" si="0"/>
        <v>823712</v>
      </c>
      <c r="K4" s="156">
        <f t="shared" si="0"/>
        <v>823712</v>
      </c>
      <c r="L4" s="156">
        <f t="shared" si="0"/>
        <v>823712</v>
      </c>
      <c r="M4" s="156">
        <f t="shared" si="0"/>
        <v>823712</v>
      </c>
      <c r="N4" s="156">
        <f t="shared" si="0"/>
        <v>823712</v>
      </c>
      <c r="O4" s="156">
        <f t="shared" si="0"/>
        <v>823712</v>
      </c>
      <c r="P4" s="157">
        <f>SUM(D4:O4)</f>
        <v>9884544</v>
      </c>
      <c r="Q4" s="156">
        <v>824302</v>
      </c>
      <c r="R4" s="156">
        <v>824302</v>
      </c>
      <c r="S4" s="156">
        <v>824302</v>
      </c>
      <c r="T4" s="156">
        <v>824302</v>
      </c>
      <c r="U4" s="156">
        <v>824302</v>
      </c>
      <c r="V4" s="156">
        <v>824302</v>
      </c>
      <c r="W4" s="156">
        <v>824302</v>
      </c>
      <c r="X4" s="156">
        <v>824302</v>
      </c>
      <c r="Y4" s="156">
        <v>824302</v>
      </c>
      <c r="Z4" s="156">
        <v>824302</v>
      </c>
      <c r="AA4" s="156">
        <v>824302</v>
      </c>
      <c r="AB4" s="156">
        <v>824302</v>
      </c>
      <c r="AC4" s="157">
        <f>SUM(Q4:AB4)</f>
        <v>9891624</v>
      </c>
      <c r="AD4" s="156">
        <v>824061</v>
      </c>
      <c r="AE4" s="156">
        <v>824061</v>
      </c>
      <c r="AF4" s="156">
        <v>824061</v>
      </c>
      <c r="AG4" s="156">
        <v>824061</v>
      </c>
      <c r="AH4" s="156">
        <v>824061</v>
      </c>
      <c r="AI4" s="156">
        <v>824061</v>
      </c>
      <c r="AJ4" s="156">
        <v>824061</v>
      </c>
      <c r="AK4" s="156">
        <v>824061</v>
      </c>
      <c r="AL4" s="156">
        <v>824061</v>
      </c>
      <c r="AM4" s="156">
        <v>824061</v>
      </c>
      <c r="AN4" s="156">
        <v>824061</v>
      </c>
      <c r="AO4" s="156">
        <v>824061</v>
      </c>
      <c r="AP4" s="157">
        <f>SUM(AD4:AO4)</f>
        <v>9888732</v>
      </c>
      <c r="AQ4" s="156">
        <v>824061</v>
      </c>
      <c r="AR4" s="156">
        <v>824061</v>
      </c>
      <c r="AS4" s="156">
        <v>824061</v>
      </c>
      <c r="AT4" s="156">
        <v>824061</v>
      </c>
      <c r="AU4" s="156">
        <v>824061</v>
      </c>
      <c r="AV4" s="156">
        <v>824061</v>
      </c>
      <c r="AW4" s="156">
        <v>824061</v>
      </c>
      <c r="AX4" s="156">
        <v>824061</v>
      </c>
      <c r="AY4" s="156">
        <v>824061</v>
      </c>
      <c r="AZ4" s="156">
        <v>824061</v>
      </c>
      <c r="BA4" s="156">
        <v>824061</v>
      </c>
      <c r="BB4" s="156">
        <v>824061</v>
      </c>
      <c r="BC4" s="157">
        <f>SUM(AQ4:BB4)</f>
        <v>9888732</v>
      </c>
      <c r="BD4" s="156">
        <v>824061</v>
      </c>
      <c r="BE4" s="156">
        <v>824061</v>
      </c>
      <c r="BF4" s="156">
        <v>824061</v>
      </c>
      <c r="BG4" s="156">
        <v>824061</v>
      </c>
      <c r="BH4" s="156">
        <v>824061</v>
      </c>
      <c r="BI4" s="156">
        <v>824061</v>
      </c>
      <c r="BJ4" s="156">
        <v>824061</v>
      </c>
      <c r="BK4" s="156">
        <v>824061</v>
      </c>
      <c r="BL4" s="156">
        <v>824061</v>
      </c>
      <c r="BM4" s="156">
        <v>824061</v>
      </c>
      <c r="BN4" s="156">
        <v>824061</v>
      </c>
      <c r="BO4" s="156">
        <v>824061</v>
      </c>
      <c r="BP4" s="157">
        <v>9888732</v>
      </c>
      <c r="BQ4" s="156">
        <v>824061</v>
      </c>
      <c r="BR4" s="156">
        <v>824061</v>
      </c>
      <c r="BS4" s="156">
        <v>824061</v>
      </c>
      <c r="BT4" s="156">
        <v>824061</v>
      </c>
      <c r="BU4" s="156">
        <v>824061</v>
      </c>
      <c r="BV4" s="156">
        <v>824061</v>
      </c>
      <c r="BW4" s="156">
        <v>824061</v>
      </c>
      <c r="BX4" s="156">
        <v>824061</v>
      </c>
      <c r="BY4" s="156">
        <v>824061</v>
      </c>
      <c r="BZ4" s="156">
        <v>824061</v>
      </c>
      <c r="CA4" s="156">
        <v>824061</v>
      </c>
      <c r="CB4" s="156">
        <v>824061</v>
      </c>
      <c r="CC4" s="157">
        <f>SUM(BQ4:CB4)</f>
        <v>9888732</v>
      </c>
    </row>
    <row r="5" spans="1:81" ht="51.75" customHeight="1">
      <c r="A5" s="213" t="s">
        <v>119</v>
      </c>
      <c r="B5" s="156">
        <v>98083</v>
      </c>
      <c r="C5" s="214" t="s">
        <v>118</v>
      </c>
      <c r="D5" s="156">
        <v>98083</v>
      </c>
      <c r="E5" s="156">
        <v>98083</v>
      </c>
      <c r="F5" s="156">
        <v>98083</v>
      </c>
      <c r="G5" s="156">
        <v>98083</v>
      </c>
      <c r="H5" s="156">
        <v>98083</v>
      </c>
      <c r="I5" s="156">
        <v>98083</v>
      </c>
      <c r="J5" s="156">
        <v>98083</v>
      </c>
      <c r="K5" s="156">
        <v>98083</v>
      </c>
      <c r="L5" s="156">
        <v>98083</v>
      </c>
      <c r="M5" s="156">
        <v>98083</v>
      </c>
      <c r="N5" s="156">
        <v>98083</v>
      </c>
      <c r="O5" s="156">
        <v>98083</v>
      </c>
      <c r="P5" s="157">
        <f>SUM(D5:O5)</f>
        <v>1176996</v>
      </c>
      <c r="Q5" s="156">
        <v>98083</v>
      </c>
      <c r="R5" s="156">
        <v>98083</v>
      </c>
      <c r="S5" s="156">
        <v>98083</v>
      </c>
      <c r="T5" s="156">
        <v>98083</v>
      </c>
      <c r="U5" s="156">
        <v>98083</v>
      </c>
      <c r="V5" s="156">
        <v>98083</v>
      </c>
      <c r="W5" s="156">
        <v>98083</v>
      </c>
      <c r="X5" s="156">
        <v>98083</v>
      </c>
      <c r="Y5" s="156">
        <v>98083</v>
      </c>
      <c r="Z5" s="156">
        <v>98083</v>
      </c>
      <c r="AA5" s="156">
        <v>98083</v>
      </c>
      <c r="AB5" s="156">
        <v>98083</v>
      </c>
      <c r="AC5" s="157">
        <f>SUM(Q5:AB5)</f>
        <v>1176996</v>
      </c>
      <c r="AD5" s="156">
        <v>98083</v>
      </c>
      <c r="AE5" s="156">
        <v>98083</v>
      </c>
      <c r="AF5" s="156">
        <v>98083</v>
      </c>
      <c r="AG5" s="156">
        <v>98083</v>
      </c>
      <c r="AH5" s="156">
        <v>98083</v>
      </c>
      <c r="AI5" s="156">
        <v>98083</v>
      </c>
      <c r="AJ5" s="156">
        <v>98083</v>
      </c>
      <c r="AK5" s="156">
        <v>98083</v>
      </c>
      <c r="AL5" s="156">
        <v>98083</v>
      </c>
      <c r="AM5" s="156">
        <v>98083</v>
      </c>
      <c r="AN5" s="156">
        <v>98083</v>
      </c>
      <c r="AO5" s="156">
        <v>98083</v>
      </c>
      <c r="AP5" s="157">
        <f>SUM(AD5:AO5)</f>
        <v>1176996</v>
      </c>
      <c r="AQ5" s="156">
        <v>98083</v>
      </c>
      <c r="AR5" s="156">
        <v>98083</v>
      </c>
      <c r="AS5" s="156">
        <v>98083</v>
      </c>
      <c r="AT5" s="156">
        <v>98083</v>
      </c>
      <c r="AU5" s="156">
        <v>98083</v>
      </c>
      <c r="AV5" s="156">
        <v>98083</v>
      </c>
      <c r="AW5" s="156">
        <v>98083</v>
      </c>
      <c r="AX5" s="156">
        <v>98083</v>
      </c>
      <c r="AY5" s="156">
        <v>98083</v>
      </c>
      <c r="AZ5" s="156">
        <v>98083</v>
      </c>
      <c r="BA5" s="156">
        <v>98083</v>
      </c>
      <c r="BB5" s="156">
        <v>98083</v>
      </c>
      <c r="BC5" s="157">
        <f>SUM(AQ5:BB5)</f>
        <v>1176996</v>
      </c>
      <c r="BD5" s="156">
        <v>98083</v>
      </c>
      <c r="BE5" s="156">
        <v>98083</v>
      </c>
      <c r="BF5" s="156">
        <v>98083</v>
      </c>
      <c r="BG5" s="156">
        <v>98083</v>
      </c>
      <c r="BH5" s="156">
        <v>98083</v>
      </c>
      <c r="BI5" s="156">
        <v>98083</v>
      </c>
      <c r="BJ5" s="156">
        <v>98083</v>
      </c>
      <c r="BK5" s="156">
        <v>98083</v>
      </c>
      <c r="BL5" s="156">
        <v>98083</v>
      </c>
      <c r="BM5" s="156">
        <v>98083</v>
      </c>
      <c r="BN5" s="156">
        <v>98083</v>
      </c>
      <c r="BO5" s="156">
        <v>98083</v>
      </c>
      <c r="BP5" s="157">
        <v>1176996</v>
      </c>
      <c r="BQ5" s="156">
        <v>98083</v>
      </c>
      <c r="BR5" s="156">
        <v>98083</v>
      </c>
      <c r="BS5" s="156">
        <v>98083</v>
      </c>
      <c r="BT5" s="156">
        <v>98083</v>
      </c>
      <c r="BU5" s="156">
        <v>98083</v>
      </c>
      <c r="BV5" s="156">
        <v>98083</v>
      </c>
      <c r="BW5" s="156">
        <v>98083</v>
      </c>
      <c r="BX5" s="156">
        <v>98083</v>
      </c>
      <c r="BY5" s="156">
        <v>98083</v>
      </c>
      <c r="BZ5" s="156">
        <v>98083</v>
      </c>
      <c r="CA5" s="156">
        <v>98083</v>
      </c>
      <c r="CB5" s="156">
        <v>98083</v>
      </c>
      <c r="CC5" s="157">
        <f>SUM(BQ5:CB5)</f>
        <v>1176996</v>
      </c>
    </row>
    <row r="6" spans="1:81" ht="66.75" customHeight="1">
      <c r="A6" s="213" t="s">
        <v>120</v>
      </c>
      <c r="B6" s="156">
        <v>25339</v>
      </c>
      <c r="C6" s="215" t="s">
        <v>121</v>
      </c>
      <c r="D6" s="156">
        <v>0</v>
      </c>
      <c r="E6" s="156">
        <v>0</v>
      </c>
      <c r="F6" s="156">
        <v>0</v>
      </c>
      <c r="G6" s="156">
        <f>B6</f>
        <v>25339</v>
      </c>
      <c r="H6" s="156">
        <f aca="true" t="shared" si="1" ref="H6:O6">G6+$B$6</f>
        <v>50678</v>
      </c>
      <c r="I6" s="156">
        <f t="shared" si="1"/>
        <v>76017</v>
      </c>
      <c r="J6" s="156">
        <f t="shared" si="1"/>
        <v>101356</v>
      </c>
      <c r="K6" s="156">
        <f t="shared" si="1"/>
        <v>126695</v>
      </c>
      <c r="L6" s="156">
        <f t="shared" si="1"/>
        <v>152034</v>
      </c>
      <c r="M6" s="156">
        <f t="shared" si="1"/>
        <v>177373</v>
      </c>
      <c r="N6" s="156">
        <f t="shared" si="1"/>
        <v>202712</v>
      </c>
      <c r="O6" s="156">
        <f t="shared" si="1"/>
        <v>228051</v>
      </c>
      <c r="P6" s="157">
        <f>SUM(D6:O6)</f>
        <v>1140255</v>
      </c>
      <c r="Q6" s="156">
        <v>253390</v>
      </c>
      <c r="R6" s="156">
        <v>278729</v>
      </c>
      <c r="S6" s="156">
        <v>304068</v>
      </c>
      <c r="T6" s="156">
        <v>304068</v>
      </c>
      <c r="U6" s="156">
        <v>304068</v>
      </c>
      <c r="V6" s="156">
        <v>304068</v>
      </c>
      <c r="W6" s="156">
        <v>304068</v>
      </c>
      <c r="X6" s="156">
        <v>304068</v>
      </c>
      <c r="Y6" s="156">
        <v>304068</v>
      </c>
      <c r="Z6" s="156">
        <v>304068</v>
      </c>
      <c r="AA6" s="156">
        <v>304068</v>
      </c>
      <c r="AB6" s="156">
        <v>304068</v>
      </c>
      <c r="AC6" s="157">
        <f>SUM(Q6:AB6)</f>
        <v>3572799</v>
      </c>
      <c r="AD6" s="156">
        <v>304068</v>
      </c>
      <c r="AE6" s="156">
        <v>304068</v>
      </c>
      <c r="AF6" s="156">
        <v>304068</v>
      </c>
      <c r="AG6" s="156">
        <v>304068</v>
      </c>
      <c r="AH6" s="156">
        <v>304068</v>
      </c>
      <c r="AI6" s="156">
        <v>304068</v>
      </c>
      <c r="AJ6" s="156">
        <v>304068</v>
      </c>
      <c r="AK6" s="156">
        <v>304068</v>
      </c>
      <c r="AL6" s="156">
        <v>304068</v>
      </c>
      <c r="AM6" s="156">
        <v>304068</v>
      </c>
      <c r="AN6" s="156">
        <v>304068</v>
      </c>
      <c r="AO6" s="156">
        <v>304068</v>
      </c>
      <c r="AP6" s="157">
        <f>SUM(AD6:AO6)</f>
        <v>3648816</v>
      </c>
      <c r="AQ6" s="156">
        <v>304068</v>
      </c>
      <c r="AR6" s="156">
        <v>304068</v>
      </c>
      <c r="AS6" s="156">
        <v>304068</v>
      </c>
      <c r="AT6" s="156">
        <v>304068</v>
      </c>
      <c r="AU6" s="156">
        <v>304068</v>
      </c>
      <c r="AV6" s="156">
        <v>304068</v>
      </c>
      <c r="AW6" s="156">
        <v>304068</v>
      </c>
      <c r="AX6" s="156">
        <v>304068</v>
      </c>
      <c r="AY6" s="156">
        <v>304068</v>
      </c>
      <c r="AZ6" s="156">
        <v>304068</v>
      </c>
      <c r="BA6" s="156">
        <v>304068</v>
      </c>
      <c r="BB6" s="156">
        <v>304068</v>
      </c>
      <c r="BC6" s="157">
        <f>SUM(AQ6:BB6)</f>
        <v>3648816</v>
      </c>
      <c r="BD6" s="156">
        <v>304068</v>
      </c>
      <c r="BE6" s="156">
        <v>304068</v>
      </c>
      <c r="BF6" s="156">
        <v>304068</v>
      </c>
      <c r="BG6" s="156">
        <v>304068</v>
      </c>
      <c r="BH6" s="156">
        <v>304068</v>
      </c>
      <c r="BI6" s="156">
        <v>304068</v>
      </c>
      <c r="BJ6" s="156">
        <v>304068</v>
      </c>
      <c r="BK6" s="156">
        <v>304068</v>
      </c>
      <c r="BL6" s="156">
        <v>304068</v>
      </c>
      <c r="BM6" s="156">
        <v>304068</v>
      </c>
      <c r="BN6" s="156">
        <v>304068</v>
      </c>
      <c r="BO6" s="156">
        <v>304068</v>
      </c>
      <c r="BP6" s="157">
        <v>3648816</v>
      </c>
      <c r="BQ6" s="156">
        <v>304068</v>
      </c>
      <c r="BR6" s="156">
        <v>304068</v>
      </c>
      <c r="BS6" s="156">
        <v>304068</v>
      </c>
      <c r="BT6" s="156">
        <v>304068</v>
      </c>
      <c r="BU6" s="156">
        <v>304068</v>
      </c>
      <c r="BV6" s="156">
        <v>304068</v>
      </c>
      <c r="BW6" s="156">
        <v>304068</v>
      </c>
      <c r="BX6" s="156">
        <v>304068</v>
      </c>
      <c r="BY6" s="156">
        <v>304068</v>
      </c>
      <c r="BZ6" s="156">
        <v>304068</v>
      </c>
      <c r="CA6" s="156">
        <v>304068</v>
      </c>
      <c r="CB6" s="156">
        <v>304068</v>
      </c>
      <c r="CC6" s="157">
        <f>SUM(BQ6:CB6)</f>
        <v>3648816</v>
      </c>
    </row>
    <row r="7" spans="1:81" ht="66.75" customHeight="1">
      <c r="A7" s="213" t="s">
        <v>122</v>
      </c>
      <c r="B7" s="156">
        <v>3153</v>
      </c>
      <c r="C7" s="214" t="s">
        <v>118</v>
      </c>
      <c r="D7" s="156">
        <v>3153</v>
      </c>
      <c r="E7" s="156">
        <v>3153</v>
      </c>
      <c r="F7" s="156">
        <v>3153</v>
      </c>
      <c r="G7" s="156">
        <v>3153</v>
      </c>
      <c r="H7" s="156">
        <v>3153</v>
      </c>
      <c r="I7" s="156">
        <v>3153</v>
      </c>
      <c r="J7" s="156">
        <v>3153</v>
      </c>
      <c r="K7" s="156">
        <v>3153</v>
      </c>
      <c r="L7" s="156">
        <v>3153</v>
      </c>
      <c r="M7" s="156">
        <v>3153</v>
      </c>
      <c r="N7" s="156">
        <v>3153</v>
      </c>
      <c r="O7" s="156">
        <v>3153</v>
      </c>
      <c r="P7" s="157">
        <f>SUM(D7:O7)</f>
        <v>37836</v>
      </c>
      <c r="Q7" s="156">
        <v>3153</v>
      </c>
      <c r="R7" s="156">
        <v>3153</v>
      </c>
      <c r="S7" s="156">
        <v>3153</v>
      </c>
      <c r="T7" s="156">
        <v>3153</v>
      </c>
      <c r="U7" s="156">
        <v>3153</v>
      </c>
      <c r="V7" s="156">
        <v>3153</v>
      </c>
      <c r="W7" s="156">
        <v>3153</v>
      </c>
      <c r="X7" s="156">
        <v>3153</v>
      </c>
      <c r="Y7" s="156">
        <v>3153</v>
      </c>
      <c r="Z7" s="156">
        <v>3153</v>
      </c>
      <c r="AA7" s="156">
        <v>3153</v>
      </c>
      <c r="AB7" s="156">
        <v>3153</v>
      </c>
      <c r="AC7" s="157">
        <f>SUM(Q7:AB7)</f>
        <v>37836</v>
      </c>
      <c r="AD7" s="156">
        <v>3153</v>
      </c>
      <c r="AE7" s="156">
        <v>3153</v>
      </c>
      <c r="AF7" s="156">
        <v>3153</v>
      </c>
      <c r="AG7" s="156">
        <v>3153</v>
      </c>
      <c r="AH7" s="156">
        <v>3153</v>
      </c>
      <c r="AI7" s="156">
        <v>3153</v>
      </c>
      <c r="AJ7" s="156">
        <v>3153</v>
      </c>
      <c r="AK7" s="156">
        <v>3153</v>
      </c>
      <c r="AL7" s="156">
        <v>3153</v>
      </c>
      <c r="AM7" s="156">
        <v>3153</v>
      </c>
      <c r="AN7" s="156">
        <v>3153</v>
      </c>
      <c r="AO7" s="156">
        <v>3153</v>
      </c>
      <c r="AP7" s="157">
        <f>SUM(AD7:AO7)</f>
        <v>37836</v>
      </c>
      <c r="AQ7" s="156">
        <v>3153</v>
      </c>
      <c r="AR7" s="156">
        <v>3153</v>
      </c>
      <c r="AS7" s="156">
        <v>3153</v>
      </c>
      <c r="AT7" s="156">
        <v>3153</v>
      </c>
      <c r="AU7" s="156">
        <v>3153</v>
      </c>
      <c r="AV7" s="156">
        <v>3153</v>
      </c>
      <c r="AW7" s="156">
        <v>3153</v>
      </c>
      <c r="AX7" s="156">
        <v>3153</v>
      </c>
      <c r="AY7" s="156">
        <v>3153</v>
      </c>
      <c r="AZ7" s="156">
        <v>3153</v>
      </c>
      <c r="BA7" s="156">
        <v>3153</v>
      </c>
      <c r="BB7" s="156">
        <v>3153</v>
      </c>
      <c r="BC7" s="157">
        <f>SUM(AQ7:BB7)</f>
        <v>37836</v>
      </c>
      <c r="BD7" s="156">
        <v>3153</v>
      </c>
      <c r="BE7" s="156">
        <v>3153</v>
      </c>
      <c r="BF7" s="156">
        <v>3153</v>
      </c>
      <c r="BG7" s="156">
        <v>3153</v>
      </c>
      <c r="BH7" s="156">
        <v>3153</v>
      </c>
      <c r="BI7" s="156">
        <v>3153</v>
      </c>
      <c r="BJ7" s="156">
        <v>3153</v>
      </c>
      <c r="BK7" s="156">
        <v>3153</v>
      </c>
      <c r="BL7" s="156">
        <v>3153</v>
      </c>
      <c r="BM7" s="156">
        <v>3153</v>
      </c>
      <c r="BN7" s="156">
        <v>3153</v>
      </c>
      <c r="BO7" s="156">
        <v>3153</v>
      </c>
      <c r="BP7" s="157">
        <v>37836</v>
      </c>
      <c r="BQ7" s="156">
        <v>3153</v>
      </c>
      <c r="BR7" s="156">
        <v>3153</v>
      </c>
      <c r="BS7" s="156">
        <v>3153</v>
      </c>
      <c r="BT7" s="156">
        <v>3153</v>
      </c>
      <c r="BU7" s="156">
        <v>3153</v>
      </c>
      <c r="BV7" s="156">
        <v>3153</v>
      </c>
      <c r="BW7" s="156">
        <v>3153</v>
      </c>
      <c r="BX7" s="156">
        <v>3153</v>
      </c>
      <c r="BY7" s="156">
        <v>3153</v>
      </c>
      <c r="BZ7" s="156">
        <v>3153</v>
      </c>
      <c r="CA7" s="156">
        <v>3153</v>
      </c>
      <c r="CB7" s="156">
        <v>3153</v>
      </c>
      <c r="CC7" s="157">
        <f>SUM(BQ7:CB7)</f>
        <v>37836</v>
      </c>
    </row>
    <row r="8" spans="1:81" ht="63.75">
      <c r="A8" s="213" t="s">
        <v>123</v>
      </c>
      <c r="B8" s="156">
        <f>77000</f>
        <v>77000</v>
      </c>
      <c r="C8" s="216" t="s">
        <v>124</v>
      </c>
      <c r="D8" s="156">
        <f>$B$8</f>
        <v>77000</v>
      </c>
      <c r="E8" s="156">
        <f aca="true" t="shared" si="2" ref="E8:O8">D8+$B$8</f>
        <v>154000</v>
      </c>
      <c r="F8" s="156">
        <f t="shared" si="2"/>
        <v>231000</v>
      </c>
      <c r="G8" s="156">
        <f t="shared" si="2"/>
        <v>308000</v>
      </c>
      <c r="H8" s="156">
        <f t="shared" si="2"/>
        <v>385000</v>
      </c>
      <c r="I8" s="156">
        <f t="shared" si="2"/>
        <v>462000</v>
      </c>
      <c r="J8" s="156">
        <f t="shared" si="2"/>
        <v>539000</v>
      </c>
      <c r="K8" s="156">
        <f t="shared" si="2"/>
        <v>616000</v>
      </c>
      <c r="L8" s="156">
        <f t="shared" si="2"/>
        <v>693000</v>
      </c>
      <c r="M8" s="156">
        <f t="shared" si="2"/>
        <v>770000</v>
      </c>
      <c r="N8" s="156">
        <f t="shared" si="2"/>
        <v>847000</v>
      </c>
      <c r="O8" s="156">
        <f t="shared" si="2"/>
        <v>924000</v>
      </c>
      <c r="P8" s="157">
        <f>SUM(D8:O8)</f>
        <v>6006000</v>
      </c>
      <c r="Q8" s="156">
        <v>924000</v>
      </c>
      <c r="R8" s="156">
        <v>924000</v>
      </c>
      <c r="S8" s="156">
        <v>924000</v>
      </c>
      <c r="T8" s="156">
        <v>924000</v>
      </c>
      <c r="U8" s="156">
        <v>924000</v>
      </c>
      <c r="V8" s="156">
        <v>924000</v>
      </c>
      <c r="W8" s="156">
        <v>924000</v>
      </c>
      <c r="X8" s="156">
        <v>924000</v>
      </c>
      <c r="Y8" s="156">
        <v>924000</v>
      </c>
      <c r="Z8" s="156">
        <v>924000</v>
      </c>
      <c r="AA8" s="156">
        <v>924000</v>
      </c>
      <c r="AB8" s="156">
        <v>924000</v>
      </c>
      <c r="AC8" s="157">
        <f>SUM(Q8:AB8)</f>
        <v>11088000</v>
      </c>
      <c r="AD8" s="156">
        <v>924000</v>
      </c>
      <c r="AE8" s="156">
        <v>924000</v>
      </c>
      <c r="AF8" s="156">
        <v>924000</v>
      </c>
      <c r="AG8" s="156">
        <v>924000</v>
      </c>
      <c r="AH8" s="156">
        <v>924000</v>
      </c>
      <c r="AI8" s="156">
        <v>924000</v>
      </c>
      <c r="AJ8" s="156">
        <v>924000</v>
      </c>
      <c r="AK8" s="156">
        <v>924000</v>
      </c>
      <c r="AL8" s="156">
        <v>924000</v>
      </c>
      <c r="AM8" s="156">
        <v>924000</v>
      </c>
      <c r="AN8" s="156">
        <v>924000</v>
      </c>
      <c r="AO8" s="156">
        <v>924000</v>
      </c>
      <c r="AP8" s="157">
        <f>SUM(AD8:AO8)</f>
        <v>11088000</v>
      </c>
      <c r="AQ8" s="156">
        <v>924000</v>
      </c>
      <c r="AR8" s="156">
        <v>924000</v>
      </c>
      <c r="AS8" s="156">
        <v>924000</v>
      </c>
      <c r="AT8" s="156">
        <v>924000</v>
      </c>
      <c r="AU8" s="156">
        <v>924000</v>
      </c>
      <c r="AV8" s="156">
        <v>924000</v>
      </c>
      <c r="AW8" s="156">
        <v>924000</v>
      </c>
      <c r="AX8" s="156">
        <v>924000</v>
      </c>
      <c r="AY8" s="156">
        <v>924000</v>
      </c>
      <c r="AZ8" s="156">
        <v>924000</v>
      </c>
      <c r="BA8" s="156">
        <v>924000</v>
      </c>
      <c r="BB8" s="156">
        <v>924000</v>
      </c>
      <c r="BC8" s="157">
        <f>SUM(AQ8:BB8)</f>
        <v>11088000</v>
      </c>
      <c r="BD8" s="156">
        <v>924000</v>
      </c>
      <c r="BE8" s="156">
        <v>924000</v>
      </c>
      <c r="BF8" s="156">
        <v>924000</v>
      </c>
      <c r="BG8" s="156">
        <v>924000</v>
      </c>
      <c r="BH8" s="156">
        <v>924000</v>
      </c>
      <c r="BI8" s="156">
        <v>924000</v>
      </c>
      <c r="BJ8" s="156">
        <v>924000</v>
      </c>
      <c r="BK8" s="156">
        <v>924000</v>
      </c>
      <c r="BL8" s="156">
        <v>924000</v>
      </c>
      <c r="BM8" s="156">
        <v>924000</v>
      </c>
      <c r="BN8" s="156">
        <v>924000</v>
      </c>
      <c r="BO8" s="156">
        <v>924000</v>
      </c>
      <c r="BP8" s="157">
        <v>11088000</v>
      </c>
      <c r="BQ8" s="156">
        <v>924000</v>
      </c>
      <c r="BR8" s="156">
        <v>924000</v>
      </c>
      <c r="BS8" s="156">
        <v>924000</v>
      </c>
      <c r="BT8" s="156">
        <v>924000</v>
      </c>
      <c r="BU8" s="156">
        <v>924000</v>
      </c>
      <c r="BV8" s="156">
        <v>924000</v>
      </c>
      <c r="BW8" s="156">
        <v>924000</v>
      </c>
      <c r="BX8" s="156">
        <v>924000</v>
      </c>
      <c r="BY8" s="156">
        <v>924000</v>
      </c>
      <c r="BZ8" s="156">
        <v>924000</v>
      </c>
      <c r="CA8" s="156">
        <v>924000</v>
      </c>
      <c r="CB8" s="156">
        <v>924000</v>
      </c>
      <c r="CC8" s="157">
        <f>SUM(BQ8:CB8)</f>
        <v>11088000</v>
      </c>
    </row>
    <row r="9" spans="1:81" ht="15.75">
      <c r="A9" s="217" t="s">
        <v>125</v>
      </c>
      <c r="B9" s="157"/>
      <c r="C9" s="218"/>
      <c r="D9" s="157">
        <f aca="true" t="shared" si="3" ref="D9:AI9">SUM(D4:D8)</f>
        <v>1001948</v>
      </c>
      <c r="E9" s="157">
        <f t="shared" si="3"/>
        <v>1078948</v>
      </c>
      <c r="F9" s="157">
        <f t="shared" si="3"/>
        <v>1155948</v>
      </c>
      <c r="G9" s="157">
        <f t="shared" si="3"/>
        <v>1258287</v>
      </c>
      <c r="H9" s="157">
        <f t="shared" si="3"/>
        <v>1360626</v>
      </c>
      <c r="I9" s="157">
        <f t="shared" si="3"/>
        <v>1462965</v>
      </c>
      <c r="J9" s="157">
        <f t="shared" si="3"/>
        <v>1565304</v>
      </c>
      <c r="K9" s="157">
        <f t="shared" si="3"/>
        <v>1667643</v>
      </c>
      <c r="L9" s="157">
        <f t="shared" si="3"/>
        <v>1769982</v>
      </c>
      <c r="M9" s="157">
        <f t="shared" si="3"/>
        <v>1872321</v>
      </c>
      <c r="N9" s="157">
        <f t="shared" si="3"/>
        <v>1974660</v>
      </c>
      <c r="O9" s="157">
        <f t="shared" si="3"/>
        <v>2076999</v>
      </c>
      <c r="P9" s="158">
        <f t="shared" si="3"/>
        <v>18245631</v>
      </c>
      <c r="Q9" s="157">
        <f t="shared" si="3"/>
        <v>2102928</v>
      </c>
      <c r="R9" s="157">
        <f t="shared" si="3"/>
        <v>2128267</v>
      </c>
      <c r="S9" s="157">
        <f t="shared" si="3"/>
        <v>2153606</v>
      </c>
      <c r="T9" s="157">
        <f t="shared" si="3"/>
        <v>2153606</v>
      </c>
      <c r="U9" s="157">
        <f t="shared" si="3"/>
        <v>2153606</v>
      </c>
      <c r="V9" s="157">
        <f t="shared" si="3"/>
        <v>2153606</v>
      </c>
      <c r="W9" s="157">
        <f t="shared" si="3"/>
        <v>2153606</v>
      </c>
      <c r="X9" s="157">
        <f t="shared" si="3"/>
        <v>2153606</v>
      </c>
      <c r="Y9" s="157">
        <f t="shared" si="3"/>
        <v>2153606</v>
      </c>
      <c r="Z9" s="157">
        <f t="shared" si="3"/>
        <v>2153606</v>
      </c>
      <c r="AA9" s="157">
        <f t="shared" si="3"/>
        <v>2153606</v>
      </c>
      <c r="AB9" s="157">
        <f t="shared" si="3"/>
        <v>2153606</v>
      </c>
      <c r="AC9" s="158">
        <f t="shared" si="3"/>
        <v>25767255</v>
      </c>
      <c r="AD9" s="157">
        <f t="shared" si="3"/>
        <v>2153365</v>
      </c>
      <c r="AE9" s="157">
        <f t="shared" si="3"/>
        <v>2153365</v>
      </c>
      <c r="AF9" s="157">
        <f t="shared" si="3"/>
        <v>2153365</v>
      </c>
      <c r="AG9" s="157">
        <f t="shared" si="3"/>
        <v>2153365</v>
      </c>
      <c r="AH9" s="157">
        <f t="shared" si="3"/>
        <v>2153365</v>
      </c>
      <c r="AI9" s="157">
        <f t="shared" si="3"/>
        <v>2153365</v>
      </c>
      <c r="AJ9" s="157">
        <f aca="true" t="shared" si="4" ref="AJ9:BO9">SUM(AJ4:AJ8)</f>
        <v>2153365</v>
      </c>
      <c r="AK9" s="157">
        <f t="shared" si="4"/>
        <v>2153365</v>
      </c>
      <c r="AL9" s="157">
        <f t="shared" si="4"/>
        <v>2153365</v>
      </c>
      <c r="AM9" s="157">
        <f t="shared" si="4"/>
        <v>2153365</v>
      </c>
      <c r="AN9" s="157">
        <f t="shared" si="4"/>
        <v>2153365</v>
      </c>
      <c r="AO9" s="157">
        <f t="shared" si="4"/>
        <v>2153365</v>
      </c>
      <c r="AP9" s="158">
        <f t="shared" si="4"/>
        <v>25840380</v>
      </c>
      <c r="AQ9" s="157">
        <f t="shared" si="4"/>
        <v>2153365</v>
      </c>
      <c r="AR9" s="157">
        <f t="shared" si="4"/>
        <v>2153365</v>
      </c>
      <c r="AS9" s="157">
        <f t="shared" si="4"/>
        <v>2153365</v>
      </c>
      <c r="AT9" s="157">
        <f t="shared" si="4"/>
        <v>2153365</v>
      </c>
      <c r="AU9" s="157">
        <f t="shared" si="4"/>
        <v>2153365</v>
      </c>
      <c r="AV9" s="157">
        <f t="shared" si="4"/>
        <v>2153365</v>
      </c>
      <c r="AW9" s="157">
        <f t="shared" si="4"/>
        <v>2153365</v>
      </c>
      <c r="AX9" s="157">
        <f t="shared" si="4"/>
        <v>2153365</v>
      </c>
      <c r="AY9" s="157">
        <f t="shared" si="4"/>
        <v>2153365</v>
      </c>
      <c r="AZ9" s="157">
        <f t="shared" si="4"/>
        <v>2153365</v>
      </c>
      <c r="BA9" s="157">
        <f t="shared" si="4"/>
        <v>2153365</v>
      </c>
      <c r="BB9" s="157">
        <f t="shared" si="4"/>
        <v>2153365</v>
      </c>
      <c r="BC9" s="158">
        <f t="shared" si="4"/>
        <v>25840380</v>
      </c>
      <c r="BD9" s="157">
        <f t="shared" si="4"/>
        <v>2153365</v>
      </c>
      <c r="BE9" s="157">
        <f t="shared" si="4"/>
        <v>2153365</v>
      </c>
      <c r="BF9" s="157">
        <f t="shared" si="4"/>
        <v>2153365</v>
      </c>
      <c r="BG9" s="157">
        <f t="shared" si="4"/>
        <v>2153365</v>
      </c>
      <c r="BH9" s="157">
        <f t="shared" si="4"/>
        <v>2153365</v>
      </c>
      <c r="BI9" s="157">
        <f t="shared" si="4"/>
        <v>2153365</v>
      </c>
      <c r="BJ9" s="157">
        <f t="shared" si="4"/>
        <v>2153365</v>
      </c>
      <c r="BK9" s="157">
        <f t="shared" si="4"/>
        <v>2153365</v>
      </c>
      <c r="BL9" s="157">
        <f t="shared" si="4"/>
        <v>2153365</v>
      </c>
      <c r="BM9" s="157">
        <f t="shared" si="4"/>
        <v>2153365</v>
      </c>
      <c r="BN9" s="157">
        <f t="shared" si="4"/>
        <v>2153365</v>
      </c>
      <c r="BO9" s="157">
        <f t="shared" si="4"/>
        <v>2153365</v>
      </c>
      <c r="BP9" s="158">
        <f aca="true" t="shared" si="5" ref="BP9:CC9">SUM(BP4:BP8)</f>
        <v>25840380</v>
      </c>
      <c r="BQ9" s="157">
        <f t="shared" si="5"/>
        <v>2153365</v>
      </c>
      <c r="BR9" s="157">
        <f t="shared" si="5"/>
        <v>2153365</v>
      </c>
      <c r="BS9" s="157">
        <f t="shared" si="5"/>
        <v>2153365</v>
      </c>
      <c r="BT9" s="157">
        <f t="shared" si="5"/>
        <v>2153365</v>
      </c>
      <c r="BU9" s="157">
        <f t="shared" si="5"/>
        <v>2153365</v>
      </c>
      <c r="BV9" s="157">
        <f t="shared" si="5"/>
        <v>2153365</v>
      </c>
      <c r="BW9" s="157">
        <f t="shared" si="5"/>
        <v>2153365</v>
      </c>
      <c r="BX9" s="157">
        <f t="shared" si="5"/>
        <v>2153365</v>
      </c>
      <c r="BY9" s="157">
        <f t="shared" si="5"/>
        <v>2153365</v>
      </c>
      <c r="BZ9" s="157">
        <f t="shared" si="5"/>
        <v>2153365</v>
      </c>
      <c r="CA9" s="157">
        <f t="shared" si="5"/>
        <v>2153365</v>
      </c>
      <c r="CB9" s="157">
        <f t="shared" si="5"/>
        <v>2153365</v>
      </c>
      <c r="CC9" s="158">
        <f t="shared" si="5"/>
        <v>25840380</v>
      </c>
    </row>
    <row r="10" spans="3:9" ht="12.75">
      <c r="C10" s="219"/>
      <c r="D10" s="219"/>
      <c r="E10" s="219"/>
      <c r="F10" s="219"/>
      <c r="G10" s="219"/>
      <c r="H10" s="219"/>
      <c r="I10" s="219"/>
    </row>
    <row r="11" spans="2:3" ht="12.75">
      <c r="B11" s="220"/>
      <c r="C11" s="220"/>
    </row>
  </sheetData>
  <sheetProtection/>
  <mergeCells count="12">
    <mergeCell ref="CC2:CC3"/>
    <mergeCell ref="D2:O2"/>
    <mergeCell ref="P2:P3"/>
    <mergeCell ref="Q2:AB2"/>
    <mergeCell ref="AC2:AC3"/>
    <mergeCell ref="AD2:AO2"/>
    <mergeCell ref="AP2:AP3"/>
    <mergeCell ref="AQ2:BB2"/>
    <mergeCell ref="BC2:BC3"/>
    <mergeCell ref="BD2:BO2"/>
    <mergeCell ref="BP2:BP3"/>
    <mergeCell ref="BQ2:CB2"/>
  </mergeCells>
  <printOptions/>
  <pageMargins left="0.25" right="0" top="1" bottom="1" header="0.5" footer="0.5"/>
  <pageSetup fitToWidth="5" horizontalDpi="600" verticalDpi="600" orientation="landscape" scale="66" r:id="rId3"/>
  <colBreaks count="5" manualBreakCount="5">
    <brk id="16" max="65535" man="1"/>
    <brk id="29" max="65535" man="1"/>
    <brk id="42" max="65535" man="1"/>
    <brk id="55" max="65535" man="1"/>
    <brk id="6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">
      <selection activeCell="H126" sqref="H126"/>
    </sheetView>
  </sheetViews>
  <sheetFormatPr defaultColWidth="8.8515625" defaultRowHeight="12.75"/>
  <cols>
    <col min="1" max="1" width="29.421875" style="137" customWidth="1"/>
    <col min="2" max="2" width="9.421875" style="137" bestFit="1" customWidth="1"/>
    <col min="3" max="3" width="8.8515625" style="137" customWidth="1"/>
    <col min="4" max="4" width="12.8515625" style="137" bestFit="1" customWidth="1"/>
    <col min="5" max="5" width="14.140625" style="137" bestFit="1" customWidth="1"/>
    <col min="6" max="16384" width="8.8515625" style="137" customWidth="1"/>
  </cols>
  <sheetData>
    <row r="1" ht="18">
      <c r="A1" s="160" t="s">
        <v>126</v>
      </c>
    </row>
    <row r="2" spans="1:4" ht="15.75">
      <c r="A2" s="161" t="s">
        <v>127</v>
      </c>
      <c r="B2" s="162" t="s">
        <v>128</v>
      </c>
      <c r="C2" s="163" t="s">
        <v>129</v>
      </c>
      <c r="D2" s="164" t="s">
        <v>130</v>
      </c>
    </row>
    <row r="3" spans="1:2" ht="12.75">
      <c r="A3" s="137" t="s">
        <v>131</v>
      </c>
      <c r="B3" s="165">
        <v>304072</v>
      </c>
    </row>
    <row r="4" spans="1:2" ht="12.75">
      <c r="A4" s="137" t="s">
        <v>132</v>
      </c>
      <c r="B4" s="159">
        <f>ROUND(B3/12,0)</f>
        <v>25339</v>
      </c>
    </row>
    <row r="5" ht="12.75">
      <c r="B5" s="159"/>
    </row>
    <row r="6" ht="12.75">
      <c r="B6" s="159"/>
    </row>
    <row r="7" spans="1:4" ht="12.75">
      <c r="A7" s="166" t="s">
        <v>133</v>
      </c>
      <c r="B7" s="159">
        <f>+B3</f>
        <v>304072</v>
      </c>
      <c r="C7" s="167">
        <v>398.39</v>
      </c>
      <c r="D7" s="168">
        <f>ROUND(C7*B7,0)</f>
        <v>121139244</v>
      </c>
    </row>
    <row r="8" spans="1:4" ht="12.75">
      <c r="A8" s="137" t="s">
        <v>134</v>
      </c>
      <c r="B8" s="159">
        <f>+B3</f>
        <v>304072</v>
      </c>
      <c r="C8" s="167">
        <f>+C7</f>
        <v>398.39</v>
      </c>
      <c r="D8" s="168">
        <f>ROUND(C8*B8,0)</f>
        <v>121139244</v>
      </c>
    </row>
    <row r="9" spans="1:5" ht="12.75">
      <c r="A9" s="137" t="s">
        <v>135</v>
      </c>
      <c r="B9" s="159">
        <f>+B3</f>
        <v>304072</v>
      </c>
      <c r="C9" s="167">
        <f>+C8</f>
        <v>398.39</v>
      </c>
      <c r="D9" s="168">
        <f>ROUND(C9*B9,0)</f>
        <v>121139244</v>
      </c>
      <c r="E9" s="169"/>
    </row>
    <row r="10" spans="1:5" ht="12.75">
      <c r="A10" s="137" t="s">
        <v>136</v>
      </c>
      <c r="B10" s="159">
        <f>+B9-B$4</f>
        <v>278733</v>
      </c>
      <c r="C10" s="167">
        <f>+C9</f>
        <v>398.39</v>
      </c>
      <c r="D10" s="168">
        <f>ROUND(C10*B10,0)</f>
        <v>111044440</v>
      </c>
      <c r="E10" s="169"/>
    </row>
    <row r="11" spans="1:5" ht="12.75">
      <c r="A11" s="137" t="s">
        <v>137</v>
      </c>
      <c r="B11" s="159">
        <v>253394</v>
      </c>
      <c r="C11" s="167">
        <f aca="true" t="shared" si="0" ref="C11:C18">+C10</f>
        <v>398.39</v>
      </c>
      <c r="D11" s="168">
        <f aca="true" t="shared" si="1" ref="D11:D18">ROUND(C11*B11,0)</f>
        <v>100949636</v>
      </c>
      <c r="E11" s="169"/>
    </row>
    <row r="12" spans="1:5" ht="12.75">
      <c r="A12" s="137" t="s">
        <v>138</v>
      </c>
      <c r="B12" s="159">
        <v>228055</v>
      </c>
      <c r="C12" s="167">
        <f t="shared" si="0"/>
        <v>398.39</v>
      </c>
      <c r="D12" s="168">
        <f t="shared" si="1"/>
        <v>90854831</v>
      </c>
      <c r="E12" s="169"/>
    </row>
    <row r="13" spans="1:5" ht="12.75">
      <c r="A13" s="137" t="s">
        <v>139</v>
      </c>
      <c r="B13" s="159">
        <v>202716</v>
      </c>
      <c r="C13" s="167">
        <f t="shared" si="0"/>
        <v>398.39</v>
      </c>
      <c r="D13" s="168">
        <f t="shared" si="1"/>
        <v>80760027</v>
      </c>
      <c r="E13" s="169"/>
    </row>
    <row r="14" spans="1:5" ht="12.75">
      <c r="A14" s="137" t="s">
        <v>140</v>
      </c>
      <c r="B14" s="159">
        <v>177377</v>
      </c>
      <c r="C14" s="167">
        <f t="shared" si="0"/>
        <v>398.39</v>
      </c>
      <c r="D14" s="168">
        <f t="shared" si="1"/>
        <v>70665223</v>
      </c>
      <c r="E14" s="169"/>
    </row>
    <row r="15" spans="1:5" ht="12.75">
      <c r="A15" s="137" t="s">
        <v>141</v>
      </c>
      <c r="B15" s="159">
        <v>152038</v>
      </c>
      <c r="C15" s="167">
        <f t="shared" si="0"/>
        <v>398.39</v>
      </c>
      <c r="D15" s="168">
        <f t="shared" si="1"/>
        <v>60570419</v>
      </c>
      <c r="E15" s="170">
        <f>SUM(D7:D15)</f>
        <v>878262308</v>
      </c>
    </row>
    <row r="16" spans="1:5" ht="12.75">
      <c r="A16" s="137" t="s">
        <v>142</v>
      </c>
      <c r="B16" s="159">
        <v>126699</v>
      </c>
      <c r="C16" s="167">
        <f t="shared" si="0"/>
        <v>398.39</v>
      </c>
      <c r="D16" s="168">
        <f t="shared" si="1"/>
        <v>50475615</v>
      </c>
      <c r="E16" s="169"/>
    </row>
    <row r="17" spans="1:5" ht="12.75">
      <c r="A17" s="137" t="s">
        <v>143</v>
      </c>
      <c r="B17" s="159">
        <v>101360</v>
      </c>
      <c r="C17" s="167">
        <f t="shared" si="0"/>
        <v>398.39</v>
      </c>
      <c r="D17" s="168">
        <f t="shared" si="1"/>
        <v>40380810</v>
      </c>
      <c r="E17" s="169"/>
    </row>
    <row r="18" spans="1:5" ht="12.75">
      <c r="A18" s="137" t="s">
        <v>144</v>
      </c>
      <c r="B18" s="159">
        <v>76021</v>
      </c>
      <c r="C18" s="167">
        <f t="shared" si="0"/>
        <v>398.39</v>
      </c>
      <c r="D18" s="168">
        <f t="shared" si="1"/>
        <v>30286006</v>
      </c>
      <c r="E18" s="171">
        <f>SUM(D7:D18)</f>
        <v>999404739</v>
      </c>
    </row>
    <row r="19" spans="1:5" ht="12.75">
      <c r="A19" s="172" t="s">
        <v>145</v>
      </c>
      <c r="B19" s="169">
        <v>0</v>
      </c>
      <c r="E19" s="169"/>
    </row>
    <row r="20" ht="12.75">
      <c r="E20" s="169"/>
    </row>
    <row r="21" spans="1:5" ht="12.75">
      <c r="A21" s="164" t="s">
        <v>149</v>
      </c>
      <c r="D21" s="168">
        <f>SUM(D7:D9)</f>
        <v>363417732</v>
      </c>
      <c r="E21" s="169"/>
    </row>
    <row r="22" spans="1:5" ht="12.75">
      <c r="A22" s="164" t="s">
        <v>148</v>
      </c>
      <c r="D22" s="168">
        <f>SUM(D10:D18)</f>
        <v>635987007</v>
      </c>
      <c r="E22" s="169"/>
    </row>
    <row r="23" spans="1:5" ht="12.75">
      <c r="A23" s="164" t="s">
        <v>30</v>
      </c>
      <c r="E23" s="169"/>
    </row>
    <row r="24" spans="1:5" ht="12.75">
      <c r="A24" s="164"/>
      <c r="E24" s="169"/>
    </row>
    <row r="25" spans="1:5" ht="18">
      <c r="A25" s="160" t="s">
        <v>146</v>
      </c>
      <c r="E25" s="169"/>
    </row>
    <row r="26" spans="1:5" ht="15.75">
      <c r="A26" s="161" t="s">
        <v>147</v>
      </c>
      <c r="B26" s="165"/>
      <c r="E26" s="169"/>
    </row>
    <row r="27" spans="1:5" ht="12.75">
      <c r="A27" s="137" t="s">
        <v>131</v>
      </c>
      <c r="B27" s="173">
        <v>35000</v>
      </c>
      <c r="E27" s="169"/>
    </row>
    <row r="28" spans="1:5" ht="12.75">
      <c r="A28" s="137" t="s">
        <v>132</v>
      </c>
      <c r="B28" s="159">
        <f>ROUND(B27/12,0)</f>
        <v>2917</v>
      </c>
      <c r="E28" s="169"/>
    </row>
    <row r="29" spans="2:5" ht="12.75">
      <c r="B29" s="159"/>
      <c r="E29" s="169"/>
    </row>
    <row r="30" spans="2:5" ht="12.75">
      <c r="B30" s="159"/>
      <c r="E30" s="169"/>
    </row>
    <row r="31" spans="1:5" ht="12.75">
      <c r="A31" s="166" t="s">
        <v>133</v>
      </c>
      <c r="B31" s="159">
        <f>+B28</f>
        <v>2917</v>
      </c>
      <c r="C31" s="167">
        <v>400</v>
      </c>
      <c r="D31" s="168">
        <f aca="true" t="shared" si="2" ref="D31:D42">ROUND(C31*B31,0)</f>
        <v>1166800</v>
      </c>
      <c r="E31" s="169"/>
    </row>
    <row r="32" spans="1:5" ht="12.75">
      <c r="A32" s="137" t="s">
        <v>134</v>
      </c>
      <c r="B32" s="159">
        <f aca="true" t="shared" si="3" ref="B32:B42">+B31+B$28</f>
        <v>5834</v>
      </c>
      <c r="C32" s="167">
        <v>400</v>
      </c>
      <c r="D32" s="168">
        <f t="shared" si="2"/>
        <v>2333600</v>
      </c>
      <c r="E32" s="169"/>
    </row>
    <row r="33" spans="1:5" ht="12.75">
      <c r="A33" s="137" t="s">
        <v>135</v>
      </c>
      <c r="B33" s="159">
        <f t="shared" si="3"/>
        <v>8751</v>
      </c>
      <c r="C33" s="167">
        <v>400</v>
      </c>
      <c r="D33" s="168">
        <f t="shared" si="2"/>
        <v>3500400</v>
      </c>
      <c r="E33" s="169"/>
    </row>
    <row r="34" spans="1:5" ht="12.75">
      <c r="A34" s="137" t="s">
        <v>136</v>
      </c>
      <c r="B34" s="159">
        <f t="shared" si="3"/>
        <v>11668</v>
      </c>
      <c r="C34" s="167">
        <v>400</v>
      </c>
      <c r="D34" s="168">
        <f t="shared" si="2"/>
        <v>4667200</v>
      </c>
      <c r="E34" s="169"/>
    </row>
    <row r="35" spans="1:5" ht="12.75">
      <c r="A35" s="137" t="s">
        <v>137</v>
      </c>
      <c r="B35" s="159">
        <f t="shared" si="3"/>
        <v>14585</v>
      </c>
      <c r="C35" s="167">
        <v>400</v>
      </c>
      <c r="D35" s="168">
        <f t="shared" si="2"/>
        <v>5834000</v>
      </c>
      <c r="E35" s="169"/>
    </row>
    <row r="36" spans="1:5" ht="12.75">
      <c r="A36" s="137" t="s">
        <v>138</v>
      </c>
      <c r="B36" s="159">
        <f t="shared" si="3"/>
        <v>17502</v>
      </c>
      <c r="C36" s="167">
        <v>400</v>
      </c>
      <c r="D36" s="168">
        <f t="shared" si="2"/>
        <v>7000800</v>
      </c>
      <c r="E36" s="169"/>
    </row>
    <row r="37" spans="1:5" ht="12.75">
      <c r="A37" s="137" t="s">
        <v>139</v>
      </c>
      <c r="B37" s="159">
        <f t="shared" si="3"/>
        <v>20419</v>
      </c>
      <c r="C37" s="167">
        <v>400</v>
      </c>
      <c r="D37" s="168">
        <f t="shared" si="2"/>
        <v>8167600</v>
      </c>
      <c r="E37" s="169"/>
    </row>
    <row r="38" spans="1:5" ht="12.75">
      <c r="A38" s="137" t="s">
        <v>140</v>
      </c>
      <c r="B38" s="159">
        <f t="shared" si="3"/>
        <v>23336</v>
      </c>
      <c r="C38" s="167">
        <v>400</v>
      </c>
      <c r="D38" s="168">
        <f t="shared" si="2"/>
        <v>9334400</v>
      </c>
      <c r="E38" s="169"/>
    </row>
    <row r="39" spans="1:5" ht="12.75">
      <c r="A39" s="137" t="s">
        <v>141</v>
      </c>
      <c r="B39" s="159">
        <f t="shared" si="3"/>
        <v>26253</v>
      </c>
      <c r="C39" s="167">
        <v>400</v>
      </c>
      <c r="D39" s="168">
        <f t="shared" si="2"/>
        <v>10501200</v>
      </c>
      <c r="E39" s="170">
        <f>SUM(D31:D39)</f>
        <v>52506000</v>
      </c>
    </row>
    <row r="40" spans="1:5" ht="12.75">
      <c r="A40" s="137" t="s">
        <v>142</v>
      </c>
      <c r="B40" s="159">
        <f t="shared" si="3"/>
        <v>29170</v>
      </c>
      <c r="C40" s="167">
        <v>400</v>
      </c>
      <c r="D40" s="168">
        <f t="shared" si="2"/>
        <v>11668000</v>
      </c>
      <c r="E40" s="169"/>
    </row>
    <row r="41" spans="1:5" ht="12.75">
      <c r="A41" s="137" t="s">
        <v>143</v>
      </c>
      <c r="B41" s="159">
        <f t="shared" si="3"/>
        <v>32087</v>
      </c>
      <c r="C41" s="167">
        <v>400</v>
      </c>
      <c r="D41" s="168">
        <f t="shared" si="2"/>
        <v>12834800</v>
      </c>
      <c r="E41" s="169"/>
    </row>
    <row r="42" spans="1:5" ht="12.75">
      <c r="A42" s="137" t="s">
        <v>144</v>
      </c>
      <c r="B42" s="159">
        <f t="shared" si="3"/>
        <v>35004</v>
      </c>
      <c r="C42" s="167">
        <v>400</v>
      </c>
      <c r="D42" s="168">
        <f t="shared" si="2"/>
        <v>14001600</v>
      </c>
      <c r="E42" s="171">
        <f>SUM(D31:D42)</f>
        <v>91010400</v>
      </c>
    </row>
    <row r="43" spans="1:2" ht="12.75">
      <c r="A43" s="172" t="s">
        <v>145</v>
      </c>
      <c r="B43" s="169">
        <v>0</v>
      </c>
    </row>
    <row r="45" spans="1:4" ht="12.75">
      <c r="A45" s="164" t="s">
        <v>149</v>
      </c>
      <c r="D45" s="168">
        <f>SUM(D31:D33)</f>
        <v>7000800</v>
      </c>
    </row>
    <row r="46" spans="1:4" ht="12.75">
      <c r="A46" s="164" t="s">
        <v>148</v>
      </c>
      <c r="C46" s="174"/>
      <c r="D46" s="168">
        <f>SUM(D34:D42)</f>
        <v>84009600</v>
      </c>
    </row>
    <row r="47" spans="1:4" ht="12.75">
      <c r="A47" s="164" t="s">
        <v>30</v>
      </c>
      <c r="D47" s="168">
        <f>SUM(D45:D46)</f>
        <v>91010400</v>
      </c>
    </row>
    <row r="50" spans="1:5" ht="12.75">
      <c r="A50" s="73" t="s">
        <v>188</v>
      </c>
      <c r="B50" s="222">
        <v>38500</v>
      </c>
      <c r="E50" s="64"/>
    </row>
    <row r="51" spans="1:5" ht="12.75">
      <c r="A51" t="s">
        <v>132</v>
      </c>
      <c r="B51" s="119">
        <f>B28</f>
        <v>2917</v>
      </c>
      <c r="E51" s="64"/>
    </row>
    <row r="52" spans="2:5" ht="12.75">
      <c r="B52" s="119"/>
      <c r="E52" s="64"/>
    </row>
    <row r="53" spans="2:5" ht="12.75">
      <c r="B53" s="119"/>
      <c r="E53" s="64"/>
    </row>
    <row r="54" spans="1:5" ht="12.75">
      <c r="A54" s="223" t="s">
        <v>145</v>
      </c>
      <c r="B54" s="119">
        <v>35004</v>
      </c>
      <c r="C54" s="224">
        <v>400</v>
      </c>
      <c r="D54" s="27">
        <f aca="true" t="shared" si="4" ref="D54:D65">ROUND(C54*B54,0)</f>
        <v>14001600</v>
      </c>
      <c r="E54" s="64"/>
    </row>
    <row r="55" spans="1:5" ht="12.75">
      <c r="A55" t="s">
        <v>134</v>
      </c>
      <c r="B55" s="119">
        <v>37921</v>
      </c>
      <c r="C55" s="224">
        <v>400</v>
      </c>
      <c r="D55" s="27">
        <f t="shared" si="4"/>
        <v>15168400</v>
      </c>
      <c r="E55" s="64"/>
    </row>
    <row r="56" spans="1:5" ht="12.75">
      <c r="A56" t="s">
        <v>135</v>
      </c>
      <c r="B56" s="119">
        <v>38500</v>
      </c>
      <c r="C56" s="224">
        <v>400</v>
      </c>
      <c r="D56" s="27">
        <f t="shared" si="4"/>
        <v>15400000</v>
      </c>
      <c r="E56" s="81"/>
    </row>
    <row r="57" spans="1:5" ht="12.75">
      <c r="A57" t="s">
        <v>136</v>
      </c>
      <c r="B57" s="119">
        <v>38500</v>
      </c>
      <c r="C57" s="224">
        <v>400</v>
      </c>
      <c r="D57" s="27">
        <f t="shared" si="4"/>
        <v>15400000</v>
      </c>
      <c r="E57" s="64"/>
    </row>
    <row r="58" spans="1:5" ht="12.75">
      <c r="A58" t="s">
        <v>137</v>
      </c>
      <c r="B58" s="119">
        <v>38500</v>
      </c>
      <c r="C58" s="224">
        <v>400</v>
      </c>
      <c r="D58" s="27">
        <f t="shared" si="4"/>
        <v>15400000</v>
      </c>
      <c r="E58" s="64"/>
    </row>
    <row r="59" spans="1:5" ht="12.75">
      <c r="A59" t="s">
        <v>138</v>
      </c>
      <c r="B59" s="119">
        <v>38500</v>
      </c>
      <c r="C59" s="224">
        <v>400</v>
      </c>
      <c r="D59" s="27">
        <f t="shared" si="4"/>
        <v>15400000</v>
      </c>
      <c r="E59" s="64"/>
    </row>
    <row r="60" spans="1:5" ht="12.75">
      <c r="A60" t="s">
        <v>139</v>
      </c>
      <c r="B60" s="119">
        <v>38500</v>
      </c>
      <c r="C60" s="224">
        <v>400</v>
      </c>
      <c r="D60" s="27">
        <f t="shared" si="4"/>
        <v>15400000</v>
      </c>
      <c r="E60" s="64"/>
    </row>
    <row r="61" spans="1:5" ht="12.75">
      <c r="A61" t="s">
        <v>140</v>
      </c>
      <c r="B61" s="119">
        <v>38500</v>
      </c>
      <c r="C61" s="224">
        <v>400</v>
      </c>
      <c r="D61" s="27">
        <f t="shared" si="4"/>
        <v>15400000</v>
      </c>
      <c r="E61" s="64"/>
    </row>
    <row r="62" spans="1:5" ht="12.75">
      <c r="A62" t="s">
        <v>141</v>
      </c>
      <c r="B62" s="119">
        <v>38500</v>
      </c>
      <c r="C62" s="224">
        <v>400</v>
      </c>
      <c r="D62" s="27">
        <f t="shared" si="4"/>
        <v>15400000</v>
      </c>
      <c r="E62" s="68"/>
    </row>
    <row r="63" spans="1:5" ht="12.75">
      <c r="A63" t="s">
        <v>142</v>
      </c>
      <c r="B63" s="119">
        <v>38500</v>
      </c>
      <c r="C63" s="224">
        <v>400</v>
      </c>
      <c r="D63" s="27">
        <f t="shared" si="4"/>
        <v>15400000</v>
      </c>
      <c r="E63" s="64"/>
    </row>
    <row r="64" spans="1:5" ht="12.75">
      <c r="A64" t="s">
        <v>143</v>
      </c>
      <c r="B64" s="119">
        <v>38500</v>
      </c>
      <c r="C64" s="224">
        <v>400</v>
      </c>
      <c r="D64" s="27">
        <f t="shared" si="4"/>
        <v>15400000</v>
      </c>
      <c r="E64" s="64"/>
    </row>
    <row r="65" spans="1:5" ht="12.75">
      <c r="A65" t="s">
        <v>144</v>
      </c>
      <c r="B65" s="119">
        <v>38500</v>
      </c>
      <c r="C65" s="224">
        <v>400</v>
      </c>
      <c r="D65" s="27">
        <f t="shared" si="4"/>
        <v>15400000</v>
      </c>
      <c r="E65" s="81">
        <f>SUM(D54:D65)</f>
        <v>183170000</v>
      </c>
    </row>
    <row r="66" spans="1:2" ht="12.75">
      <c r="A66" s="225" t="s">
        <v>189</v>
      </c>
      <c r="B66" s="64"/>
    </row>
    <row r="67" ht="12.75"/>
    <row r="68" ht="12.75"/>
    <row r="69" spans="1:5" ht="12.75">
      <c r="A69" s="73" t="s">
        <v>190</v>
      </c>
      <c r="B69" s="222">
        <v>0</v>
      </c>
      <c r="E69" s="64"/>
    </row>
    <row r="70" spans="1:5" ht="12.75">
      <c r="A70" t="s">
        <v>132</v>
      </c>
      <c r="B70" s="119">
        <v>0</v>
      </c>
      <c r="E70" s="64"/>
    </row>
    <row r="71" spans="2:5" ht="12.75">
      <c r="B71" s="119"/>
      <c r="E71" s="64"/>
    </row>
    <row r="72" spans="2:5" ht="12.75">
      <c r="B72" s="119"/>
      <c r="E72" s="64"/>
    </row>
    <row r="73" spans="1:5" ht="12.75">
      <c r="A73" s="223" t="s">
        <v>189</v>
      </c>
      <c r="B73" s="119">
        <v>0</v>
      </c>
      <c r="C73" s="224">
        <v>400</v>
      </c>
      <c r="D73" s="27">
        <f aca="true" t="shared" si="5" ref="D73:D84">ROUND(C73*B73,0)</f>
        <v>0</v>
      </c>
      <c r="E73" s="64"/>
    </row>
    <row r="74" spans="1:5" ht="12.75">
      <c r="A74" t="s">
        <v>134</v>
      </c>
      <c r="B74" s="119">
        <v>0</v>
      </c>
      <c r="C74" s="224">
        <v>400</v>
      </c>
      <c r="D74" s="27">
        <f t="shared" si="5"/>
        <v>0</v>
      </c>
      <c r="E74" s="64"/>
    </row>
    <row r="75" spans="1:5" ht="12.75">
      <c r="A75" t="s">
        <v>135</v>
      </c>
      <c r="B75" s="119">
        <v>0</v>
      </c>
      <c r="C75" s="224">
        <v>400</v>
      </c>
      <c r="D75" s="27">
        <f t="shared" si="5"/>
        <v>0</v>
      </c>
      <c r="E75" s="81"/>
    </row>
    <row r="76" spans="1:5" ht="12.75">
      <c r="A76" t="s">
        <v>136</v>
      </c>
      <c r="B76" s="119">
        <v>0</v>
      </c>
      <c r="C76" s="224">
        <v>400</v>
      </c>
      <c r="D76" s="27">
        <f t="shared" si="5"/>
        <v>0</v>
      </c>
      <c r="E76" s="64"/>
    </row>
    <row r="77" spans="1:5" ht="12.75">
      <c r="A77" t="s">
        <v>137</v>
      </c>
      <c r="B77" s="119">
        <v>0</v>
      </c>
      <c r="C77" s="224">
        <v>400</v>
      </c>
      <c r="D77" s="27">
        <f t="shared" si="5"/>
        <v>0</v>
      </c>
      <c r="E77" s="64"/>
    </row>
    <row r="78" spans="1:5" ht="12.75">
      <c r="A78" t="s">
        <v>138</v>
      </c>
      <c r="B78" s="119">
        <v>0</v>
      </c>
      <c r="C78" s="224">
        <v>400</v>
      </c>
      <c r="D78" s="27">
        <f t="shared" si="5"/>
        <v>0</v>
      </c>
      <c r="E78" s="64"/>
    </row>
    <row r="79" spans="1:5" ht="12.75">
      <c r="A79" t="s">
        <v>139</v>
      </c>
      <c r="B79" s="119">
        <v>0</v>
      </c>
      <c r="C79" s="224">
        <v>400</v>
      </c>
      <c r="D79" s="27">
        <f t="shared" si="5"/>
        <v>0</v>
      </c>
      <c r="E79" s="64"/>
    </row>
    <row r="80" spans="1:5" ht="12.75">
      <c r="A80" t="s">
        <v>140</v>
      </c>
      <c r="B80" s="119">
        <v>0</v>
      </c>
      <c r="C80" s="224">
        <v>400</v>
      </c>
      <c r="D80" s="27">
        <f t="shared" si="5"/>
        <v>0</v>
      </c>
      <c r="E80" s="64"/>
    </row>
    <row r="81" spans="1:5" ht="12.75">
      <c r="A81" t="s">
        <v>141</v>
      </c>
      <c r="B81" s="119">
        <v>0</v>
      </c>
      <c r="C81" s="224">
        <v>400</v>
      </c>
      <c r="D81" s="27">
        <f t="shared" si="5"/>
        <v>0</v>
      </c>
      <c r="E81" s="68"/>
    </row>
    <row r="82" spans="1:5" ht="12.75">
      <c r="A82" t="s">
        <v>142</v>
      </c>
      <c r="B82" s="119">
        <v>0</v>
      </c>
      <c r="C82" s="224">
        <v>400</v>
      </c>
      <c r="D82" s="27">
        <f t="shared" si="5"/>
        <v>0</v>
      </c>
      <c r="E82" s="64"/>
    </row>
    <row r="83" spans="1:5" ht="12.75">
      <c r="A83" t="s">
        <v>143</v>
      </c>
      <c r="B83" s="119">
        <v>0</v>
      </c>
      <c r="C83" s="224">
        <v>400</v>
      </c>
      <c r="D83" s="27">
        <f t="shared" si="5"/>
        <v>0</v>
      </c>
      <c r="E83" s="64"/>
    </row>
    <row r="84" spans="1:5" ht="12.75">
      <c r="A84" t="s">
        <v>144</v>
      </c>
      <c r="B84" s="119">
        <v>0</v>
      </c>
      <c r="C84" s="224">
        <v>400</v>
      </c>
      <c r="D84" s="27">
        <f t="shared" si="5"/>
        <v>0</v>
      </c>
      <c r="E84" s="81">
        <f>SUM(D73:D84)</f>
        <v>0</v>
      </c>
    </row>
    <row r="85" spans="1:2" ht="12.75">
      <c r="A85" s="225" t="s">
        <v>191</v>
      </c>
      <c r="B85" s="64"/>
    </row>
    <row r="86" ht="12.75"/>
    <row r="87" ht="12.75"/>
    <row r="88" spans="1:5" ht="12.75">
      <c r="A88" s="73" t="s">
        <v>192</v>
      </c>
      <c r="B88" s="222">
        <v>0</v>
      </c>
      <c r="E88" s="64"/>
    </row>
    <row r="89" spans="1:5" ht="12.75">
      <c r="A89" t="s">
        <v>132</v>
      </c>
      <c r="B89" s="119">
        <v>0</v>
      </c>
      <c r="E89" s="64"/>
    </row>
    <row r="90" spans="2:5" ht="12.75">
      <c r="B90" s="119"/>
      <c r="E90" s="64"/>
    </row>
    <row r="91" spans="2:5" ht="12.75">
      <c r="B91" s="119"/>
      <c r="E91" s="64"/>
    </row>
    <row r="92" spans="1:5" ht="12.75">
      <c r="A92" s="223" t="s">
        <v>191</v>
      </c>
      <c r="B92" s="119">
        <v>0</v>
      </c>
      <c r="C92" s="224">
        <v>400</v>
      </c>
      <c r="D92" s="27">
        <f aca="true" t="shared" si="6" ref="D92:D103">ROUND(C92*B92,0)</f>
        <v>0</v>
      </c>
      <c r="E92" s="64"/>
    </row>
    <row r="93" spans="1:5" ht="12.75">
      <c r="A93" t="s">
        <v>134</v>
      </c>
      <c r="B93" s="119">
        <v>0</v>
      </c>
      <c r="C93" s="224">
        <v>400</v>
      </c>
      <c r="D93" s="27">
        <f t="shared" si="6"/>
        <v>0</v>
      </c>
      <c r="E93" s="64"/>
    </row>
    <row r="94" spans="1:5" ht="12.75">
      <c r="A94" t="s">
        <v>135</v>
      </c>
      <c r="B94" s="119">
        <v>0</v>
      </c>
      <c r="C94" s="224">
        <v>400</v>
      </c>
      <c r="D94" s="27">
        <f t="shared" si="6"/>
        <v>0</v>
      </c>
      <c r="E94" s="81"/>
    </row>
    <row r="95" spans="1:5" ht="12.75">
      <c r="A95" t="s">
        <v>136</v>
      </c>
      <c r="B95" s="119">
        <v>0</v>
      </c>
      <c r="C95" s="224">
        <v>400</v>
      </c>
      <c r="D95" s="27">
        <f t="shared" si="6"/>
        <v>0</v>
      </c>
      <c r="E95" s="64"/>
    </row>
    <row r="96" spans="1:5" ht="12.75">
      <c r="A96" t="s">
        <v>137</v>
      </c>
      <c r="B96" s="119">
        <v>0</v>
      </c>
      <c r="C96" s="224">
        <v>400</v>
      </c>
      <c r="D96" s="27">
        <f t="shared" si="6"/>
        <v>0</v>
      </c>
      <c r="E96" s="64"/>
    </row>
    <row r="97" spans="1:5" ht="12.75">
      <c r="A97" t="s">
        <v>138</v>
      </c>
      <c r="B97" s="119">
        <v>0</v>
      </c>
      <c r="C97" s="224">
        <v>400</v>
      </c>
      <c r="D97" s="27">
        <f t="shared" si="6"/>
        <v>0</v>
      </c>
      <c r="E97" s="64"/>
    </row>
    <row r="98" spans="1:5" ht="12.75">
      <c r="A98" t="s">
        <v>139</v>
      </c>
      <c r="B98" s="119">
        <v>0</v>
      </c>
      <c r="C98" s="224">
        <v>400</v>
      </c>
      <c r="D98" s="27">
        <f t="shared" si="6"/>
        <v>0</v>
      </c>
      <c r="E98" s="64"/>
    </row>
    <row r="99" spans="1:5" ht="12.75">
      <c r="A99" t="s">
        <v>140</v>
      </c>
      <c r="B99" s="119">
        <v>0</v>
      </c>
      <c r="C99" s="224">
        <v>400</v>
      </c>
      <c r="D99" s="27">
        <f t="shared" si="6"/>
        <v>0</v>
      </c>
      <c r="E99" s="64"/>
    </row>
    <row r="100" spans="1:5" ht="12.75">
      <c r="A100" t="s">
        <v>141</v>
      </c>
      <c r="B100" s="119">
        <v>0</v>
      </c>
      <c r="C100" s="224">
        <v>400</v>
      </c>
      <c r="D100" s="27">
        <f t="shared" si="6"/>
        <v>0</v>
      </c>
      <c r="E100" s="68"/>
    </row>
    <row r="101" spans="1:5" ht="12.75">
      <c r="A101" t="s">
        <v>142</v>
      </c>
      <c r="B101" s="119">
        <v>0</v>
      </c>
      <c r="C101" s="224">
        <v>400</v>
      </c>
      <c r="D101" s="27">
        <f t="shared" si="6"/>
        <v>0</v>
      </c>
      <c r="E101" s="64"/>
    </row>
    <row r="102" spans="1:5" ht="12.75">
      <c r="A102" t="s">
        <v>143</v>
      </c>
      <c r="B102" s="119">
        <v>0</v>
      </c>
      <c r="C102" s="224">
        <v>400</v>
      </c>
      <c r="D102" s="27">
        <f t="shared" si="6"/>
        <v>0</v>
      </c>
      <c r="E102" s="64"/>
    </row>
    <row r="103" spans="1:5" ht="12.75">
      <c r="A103" t="s">
        <v>144</v>
      </c>
      <c r="B103" s="119">
        <v>0</v>
      </c>
      <c r="C103" s="224">
        <v>400</v>
      </c>
      <c r="D103" s="27">
        <f t="shared" si="6"/>
        <v>0</v>
      </c>
      <c r="E103" s="81">
        <f>SUM(D92:D103)</f>
        <v>0</v>
      </c>
    </row>
    <row r="104" ht="12.75">
      <c r="A104" s="225" t="s">
        <v>193</v>
      </c>
    </row>
    <row r="105" ht="12.75"/>
    <row r="106" ht="12.75"/>
    <row r="107" spans="1:5" ht="12.75">
      <c r="A107" s="73" t="s">
        <v>194</v>
      </c>
      <c r="B107" s="222">
        <v>0</v>
      </c>
      <c r="E107" s="64"/>
    </row>
    <row r="108" spans="1:5" ht="12.75">
      <c r="A108" t="s">
        <v>132</v>
      </c>
      <c r="B108" s="119">
        <v>0</v>
      </c>
      <c r="E108" s="64"/>
    </row>
    <row r="109" spans="2:5" ht="12.75">
      <c r="B109" s="119"/>
      <c r="E109" s="64"/>
    </row>
    <row r="110" spans="2:5" ht="12.75">
      <c r="B110" s="119"/>
      <c r="E110" s="64"/>
    </row>
    <row r="111" spans="1:5" ht="12.75">
      <c r="A111" s="223" t="s">
        <v>193</v>
      </c>
      <c r="B111" s="119">
        <v>0</v>
      </c>
      <c r="C111" s="224">
        <v>400</v>
      </c>
      <c r="D111" s="27">
        <f aca="true" t="shared" si="7" ref="D111:D122">ROUND(C111*B111,0)</f>
        <v>0</v>
      </c>
      <c r="E111" s="64"/>
    </row>
    <row r="112" spans="1:5" ht="12.75">
      <c r="A112" t="s">
        <v>134</v>
      </c>
      <c r="B112" s="119">
        <v>0</v>
      </c>
      <c r="C112" s="224">
        <v>400</v>
      </c>
      <c r="D112" s="27">
        <f t="shared" si="7"/>
        <v>0</v>
      </c>
      <c r="E112" s="64"/>
    </row>
    <row r="113" spans="1:5" ht="12.75">
      <c r="A113" t="s">
        <v>135</v>
      </c>
      <c r="B113" s="119">
        <v>0</v>
      </c>
      <c r="C113" s="224">
        <v>400</v>
      </c>
      <c r="D113" s="27">
        <f t="shared" si="7"/>
        <v>0</v>
      </c>
      <c r="E113" s="81"/>
    </row>
    <row r="114" spans="1:5" ht="12.75">
      <c r="A114" t="s">
        <v>136</v>
      </c>
      <c r="B114" s="119">
        <v>0</v>
      </c>
      <c r="C114" s="224">
        <v>400</v>
      </c>
      <c r="D114" s="27">
        <f t="shared" si="7"/>
        <v>0</v>
      </c>
      <c r="E114" s="64"/>
    </row>
    <row r="115" spans="1:5" ht="12.75">
      <c r="A115" t="s">
        <v>137</v>
      </c>
      <c r="B115" s="119">
        <v>0</v>
      </c>
      <c r="C115" s="224">
        <v>400</v>
      </c>
      <c r="D115" s="27">
        <f t="shared" si="7"/>
        <v>0</v>
      </c>
      <c r="E115" s="64"/>
    </row>
    <row r="116" spans="1:5" ht="12.75">
      <c r="A116" t="s">
        <v>138</v>
      </c>
      <c r="B116" s="119">
        <v>0</v>
      </c>
      <c r="C116" s="224">
        <v>400</v>
      </c>
      <c r="D116" s="27">
        <f t="shared" si="7"/>
        <v>0</v>
      </c>
      <c r="E116" s="64"/>
    </row>
    <row r="117" spans="1:5" ht="12.75">
      <c r="A117" t="s">
        <v>139</v>
      </c>
      <c r="B117" s="119">
        <v>0</v>
      </c>
      <c r="C117" s="224">
        <v>400</v>
      </c>
      <c r="D117" s="27">
        <f t="shared" si="7"/>
        <v>0</v>
      </c>
      <c r="E117" s="64"/>
    </row>
    <row r="118" spans="1:5" ht="12.75">
      <c r="A118" t="s">
        <v>140</v>
      </c>
      <c r="B118" s="119">
        <v>0</v>
      </c>
      <c r="C118" s="224">
        <v>400</v>
      </c>
      <c r="D118" s="27">
        <f t="shared" si="7"/>
        <v>0</v>
      </c>
      <c r="E118" s="64"/>
    </row>
    <row r="119" spans="1:5" ht="12.75">
      <c r="A119" t="s">
        <v>141</v>
      </c>
      <c r="B119" s="119">
        <v>0</v>
      </c>
      <c r="C119" s="224">
        <v>400</v>
      </c>
      <c r="D119" s="27">
        <f t="shared" si="7"/>
        <v>0</v>
      </c>
      <c r="E119" s="68"/>
    </row>
    <row r="120" spans="1:5" ht="12.75">
      <c r="A120" t="s">
        <v>142</v>
      </c>
      <c r="B120" s="119">
        <v>0</v>
      </c>
      <c r="C120" s="224">
        <v>400</v>
      </c>
      <c r="D120" s="27">
        <f t="shared" si="7"/>
        <v>0</v>
      </c>
      <c r="E120" s="64"/>
    </row>
    <row r="121" spans="1:5" ht="12.75">
      <c r="A121" t="s">
        <v>143</v>
      </c>
      <c r="B121" s="119">
        <v>0</v>
      </c>
      <c r="C121" s="224">
        <v>400</v>
      </c>
      <c r="D121" s="27">
        <f t="shared" si="7"/>
        <v>0</v>
      </c>
      <c r="E121" s="64"/>
    </row>
    <row r="122" spans="1:5" ht="12.75">
      <c r="A122" t="s">
        <v>144</v>
      </c>
      <c r="B122" s="119">
        <v>0</v>
      </c>
      <c r="C122" s="224">
        <v>400</v>
      </c>
      <c r="D122" s="27">
        <f t="shared" si="7"/>
        <v>0</v>
      </c>
      <c r="E122" s="81">
        <f>SUM(D111:D122)</f>
        <v>0</v>
      </c>
    </row>
    <row r="123" ht="12.75">
      <c r="A123" s="225" t="s">
        <v>193</v>
      </c>
    </row>
    <row r="124" ht="12.75"/>
    <row r="125" ht="12.75"/>
    <row r="126" spans="1:5" ht="12.75">
      <c r="A126" s="73" t="s">
        <v>195</v>
      </c>
      <c r="B126" s="222">
        <v>0</v>
      </c>
      <c r="E126" s="64"/>
    </row>
    <row r="127" spans="1:5" ht="12.75">
      <c r="A127" t="s">
        <v>132</v>
      </c>
      <c r="B127" s="119">
        <v>0</v>
      </c>
      <c r="E127" s="64"/>
    </row>
    <row r="128" spans="2:5" ht="12.75">
      <c r="B128" s="119"/>
      <c r="E128" s="64"/>
    </row>
    <row r="129" spans="2:5" ht="12.75">
      <c r="B129" s="119"/>
      <c r="E129" s="64"/>
    </row>
    <row r="130" spans="1:5" ht="12.75">
      <c r="A130" s="223" t="s">
        <v>196</v>
      </c>
      <c r="B130" s="119">
        <v>0</v>
      </c>
      <c r="C130" s="224">
        <v>400</v>
      </c>
      <c r="D130" s="27">
        <f aca="true" t="shared" si="8" ref="D130:D141">ROUND(C130*B130,0)</f>
        <v>0</v>
      </c>
      <c r="E130" s="64"/>
    </row>
    <row r="131" spans="1:5" ht="12.75">
      <c r="A131" t="s">
        <v>134</v>
      </c>
      <c r="B131" s="119">
        <v>0</v>
      </c>
      <c r="C131" s="224">
        <v>400</v>
      </c>
      <c r="D131" s="27">
        <f t="shared" si="8"/>
        <v>0</v>
      </c>
      <c r="E131" s="64"/>
    </row>
    <row r="132" spans="1:5" ht="12.75">
      <c r="A132" t="s">
        <v>135</v>
      </c>
      <c r="B132" s="119">
        <v>0</v>
      </c>
      <c r="C132" s="224">
        <v>400</v>
      </c>
      <c r="D132" s="27">
        <f t="shared" si="8"/>
        <v>0</v>
      </c>
      <c r="E132" s="81"/>
    </row>
    <row r="133" spans="1:5" ht="12.75">
      <c r="A133" t="s">
        <v>136</v>
      </c>
      <c r="B133" s="119">
        <v>0</v>
      </c>
      <c r="C133" s="224">
        <v>400</v>
      </c>
      <c r="D133" s="27">
        <f t="shared" si="8"/>
        <v>0</v>
      </c>
      <c r="E133" s="64"/>
    </row>
    <row r="134" spans="1:5" ht="12.75">
      <c r="A134" t="s">
        <v>137</v>
      </c>
      <c r="B134" s="119">
        <v>0</v>
      </c>
      <c r="C134" s="224">
        <v>400</v>
      </c>
      <c r="D134" s="27">
        <f t="shared" si="8"/>
        <v>0</v>
      </c>
      <c r="E134" s="64"/>
    </row>
    <row r="135" spans="1:5" ht="12.75">
      <c r="A135" t="s">
        <v>138</v>
      </c>
      <c r="B135" s="119">
        <v>0</v>
      </c>
      <c r="C135" s="224">
        <v>400</v>
      </c>
      <c r="D135" s="27">
        <f t="shared" si="8"/>
        <v>0</v>
      </c>
      <c r="E135" s="64"/>
    </row>
    <row r="136" spans="1:5" ht="12.75">
      <c r="A136" t="s">
        <v>139</v>
      </c>
      <c r="B136" s="119">
        <v>0</v>
      </c>
      <c r="C136" s="224">
        <v>400</v>
      </c>
      <c r="D136" s="27">
        <f t="shared" si="8"/>
        <v>0</v>
      </c>
      <c r="E136" s="64"/>
    </row>
    <row r="137" spans="1:5" ht="12.75">
      <c r="A137" t="s">
        <v>140</v>
      </c>
      <c r="B137" s="119">
        <v>0</v>
      </c>
      <c r="C137" s="224">
        <v>400</v>
      </c>
      <c r="D137" s="27">
        <f t="shared" si="8"/>
        <v>0</v>
      </c>
      <c r="E137" s="64"/>
    </row>
    <row r="138" spans="1:5" ht="12.75">
      <c r="A138" t="s">
        <v>141</v>
      </c>
      <c r="B138" s="119">
        <v>0</v>
      </c>
      <c r="C138" s="224">
        <v>400</v>
      </c>
      <c r="D138" s="27">
        <f t="shared" si="8"/>
        <v>0</v>
      </c>
      <c r="E138" s="68"/>
    </row>
    <row r="139" spans="1:5" ht="12.75">
      <c r="A139" t="s">
        <v>142</v>
      </c>
      <c r="B139" s="119">
        <v>0</v>
      </c>
      <c r="C139" s="224">
        <v>400</v>
      </c>
      <c r="D139" s="27">
        <f t="shared" si="8"/>
        <v>0</v>
      </c>
      <c r="E139" s="64"/>
    </row>
    <row r="140" spans="1:5" ht="12.75">
      <c r="A140" t="s">
        <v>143</v>
      </c>
      <c r="B140" s="119">
        <v>0</v>
      </c>
      <c r="C140" s="224">
        <v>400</v>
      </c>
      <c r="D140" s="27">
        <f t="shared" si="8"/>
        <v>0</v>
      </c>
      <c r="E140" s="64"/>
    </row>
    <row r="141" spans="1:5" ht="12.75">
      <c r="A141" t="s">
        <v>144</v>
      </c>
      <c r="B141" s="119">
        <v>0</v>
      </c>
      <c r="C141" s="224">
        <v>400</v>
      </c>
      <c r="D141" s="27">
        <f t="shared" si="8"/>
        <v>0</v>
      </c>
      <c r="E141" s="81">
        <f>SUM(D130:D141)</f>
        <v>0</v>
      </c>
    </row>
    <row r="142" ht="12.75">
      <c r="A142" s="225" t="s">
        <v>197</v>
      </c>
    </row>
    <row r="143" ht="12.75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7.8515625" style="0" customWidth="1"/>
    <col min="2" max="3" width="9.8515625" style="0" customWidth="1"/>
    <col min="4" max="4" width="10.8515625" style="0" customWidth="1"/>
    <col min="5" max="5" width="10.140625" style="0" customWidth="1"/>
    <col min="6" max="6" width="11.140625" style="0" customWidth="1"/>
    <col min="7" max="7" width="8.140625" style="0" customWidth="1"/>
    <col min="9" max="9" width="8.421875" style="0" customWidth="1"/>
    <col min="10" max="10" width="9.00390625" style="0" customWidth="1"/>
    <col min="12" max="12" width="8.8515625" style="0" customWidth="1"/>
    <col min="13" max="13" width="9.421875" style="0" customWidth="1"/>
    <col min="14" max="14" width="10.00390625" style="0" customWidth="1"/>
    <col min="15" max="15" width="9.8515625" style="0" customWidth="1"/>
    <col min="16" max="16" width="8.57421875" style="0" customWidth="1"/>
  </cols>
  <sheetData>
    <row r="1" spans="1:4" ht="20.25">
      <c r="A1" s="116" t="e">
        <f>+#REF!&amp;" Eligibles and Enrollment"</f>
        <v>#REF!</v>
      </c>
      <c r="B1" s="116"/>
      <c r="C1" s="115"/>
      <c r="D1" s="115"/>
    </row>
    <row r="3" spans="2:21" ht="51.75" customHeight="1">
      <c r="B3" s="72" t="s">
        <v>89</v>
      </c>
      <c r="C3" s="72" t="s">
        <v>90</v>
      </c>
      <c r="D3" s="72" t="s">
        <v>53</v>
      </c>
      <c r="E3" s="72" t="s">
        <v>93</v>
      </c>
      <c r="F3" s="72" t="s">
        <v>66</v>
      </c>
      <c r="G3" s="118">
        <v>41365</v>
      </c>
      <c r="H3" s="118">
        <v>41395</v>
      </c>
      <c r="I3" s="118">
        <v>41426</v>
      </c>
      <c r="J3" s="118">
        <v>41456</v>
      </c>
      <c r="K3" s="118">
        <v>41487</v>
      </c>
      <c r="L3" s="118">
        <v>41518</v>
      </c>
      <c r="M3" s="118">
        <v>41548</v>
      </c>
      <c r="N3" s="118">
        <v>41579</v>
      </c>
      <c r="O3" s="118">
        <v>41609</v>
      </c>
      <c r="P3" s="118">
        <v>41640</v>
      </c>
      <c r="Q3" s="118">
        <v>41671</v>
      </c>
      <c r="R3" s="118">
        <v>41699</v>
      </c>
      <c r="S3" s="117"/>
      <c r="T3" s="117"/>
      <c r="U3" s="117"/>
    </row>
    <row r="4" spans="1:21" ht="15.75">
      <c r="A4" s="12" t="s">
        <v>88</v>
      </c>
      <c r="B4" s="121"/>
      <c r="C4" s="119">
        <f aca="true" t="shared" si="0" ref="C4:C10">ROUND(B4,0)*12</f>
        <v>0</v>
      </c>
      <c r="D4" s="119">
        <f aca="true" t="shared" si="1" ref="D4:D10">SUM(G4:L4)</f>
        <v>0</v>
      </c>
      <c r="E4" s="119">
        <f>ROUND(B4,0)*6</f>
        <v>0</v>
      </c>
      <c r="F4" s="119">
        <f>SUM(M4:R4)</f>
        <v>0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19"/>
      <c r="T4" s="119"/>
      <c r="U4" s="119"/>
    </row>
    <row r="5" spans="1:21" ht="15.75">
      <c r="A5" s="12" t="s">
        <v>11</v>
      </c>
      <c r="B5" s="121"/>
      <c r="C5" s="119">
        <f t="shared" si="0"/>
        <v>0</v>
      </c>
      <c r="D5" s="119">
        <f t="shared" si="1"/>
        <v>0</v>
      </c>
      <c r="E5" s="119">
        <f>ROUND(B5,0)*6</f>
        <v>0</v>
      </c>
      <c r="F5" s="119">
        <f>SUM(M5:R5)</f>
        <v>0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19"/>
      <c r="T5" s="119"/>
      <c r="U5" s="119"/>
    </row>
    <row r="6" spans="1:21" ht="15.75">
      <c r="A6" s="12" t="s">
        <v>17</v>
      </c>
      <c r="B6" s="121"/>
      <c r="C6" s="119">
        <f t="shared" si="0"/>
        <v>0</v>
      </c>
      <c r="D6" s="119">
        <f t="shared" si="1"/>
        <v>0</v>
      </c>
      <c r="E6" s="119">
        <f>ROUND(B6,0)*3</f>
        <v>0</v>
      </c>
      <c r="F6" s="119">
        <f>SUM(M6:O6)</f>
        <v>0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19"/>
      <c r="T6" s="119"/>
      <c r="U6" s="119"/>
    </row>
    <row r="7" spans="1:21" ht="31.5">
      <c r="A7" s="125" t="s">
        <v>12</v>
      </c>
      <c r="B7" s="121"/>
      <c r="C7" s="119">
        <f t="shared" si="0"/>
        <v>0</v>
      </c>
      <c r="D7" s="119">
        <f t="shared" si="1"/>
        <v>0</v>
      </c>
      <c r="E7" s="119">
        <f>ROUND(B7,0)*3</f>
        <v>0</v>
      </c>
      <c r="F7" s="119">
        <f>SUM(M7:O7)</f>
        <v>0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19"/>
      <c r="T7" s="119"/>
      <c r="U7" s="119"/>
    </row>
    <row r="8" spans="1:21" ht="47.25">
      <c r="A8" s="125" t="s">
        <v>15</v>
      </c>
      <c r="B8" s="121"/>
      <c r="C8" s="119">
        <f t="shared" si="0"/>
        <v>0</v>
      </c>
      <c r="D8" s="119">
        <f t="shared" si="1"/>
        <v>0</v>
      </c>
      <c r="E8" s="119">
        <f>ROUND(B8,0)*3</f>
        <v>0</v>
      </c>
      <c r="F8" s="119">
        <f>SUM(M8:O8)</f>
        <v>0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19"/>
      <c r="T8" s="119"/>
      <c r="U8" s="119"/>
    </row>
    <row r="9" spans="1:21" ht="15.75">
      <c r="A9" s="12" t="s">
        <v>67</v>
      </c>
      <c r="B9" s="122"/>
      <c r="C9" s="119">
        <f t="shared" si="0"/>
        <v>0</v>
      </c>
      <c r="D9" s="119">
        <f t="shared" si="1"/>
        <v>0</v>
      </c>
      <c r="E9" s="119">
        <f>ROUND(B9,0)*3</f>
        <v>0</v>
      </c>
      <c r="F9" s="119">
        <f>SUM(M9:O9)</f>
        <v>0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19"/>
      <c r="T9" s="119"/>
      <c r="U9" s="119"/>
    </row>
    <row r="10" spans="1:21" ht="15.75">
      <c r="A10" s="12" t="s">
        <v>68</v>
      </c>
      <c r="B10" s="122"/>
      <c r="C10" s="119">
        <f t="shared" si="0"/>
        <v>0</v>
      </c>
      <c r="D10" s="119">
        <f t="shared" si="1"/>
        <v>0</v>
      </c>
      <c r="E10" s="119">
        <f>ROUND(B10,0)*3</f>
        <v>0</v>
      </c>
      <c r="F10" s="119">
        <f>SUM(M10:O10)</f>
        <v>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19"/>
      <c r="T10" s="119"/>
      <c r="U10" s="119"/>
    </row>
    <row r="11" spans="1:21" ht="15.75">
      <c r="A11" s="12" t="s">
        <v>87</v>
      </c>
      <c r="B11" s="119">
        <f aca="true" t="shared" si="2" ref="B11:R11">SUM(B4:B10)</f>
        <v>0</v>
      </c>
      <c r="C11" s="119">
        <f t="shared" si="2"/>
        <v>0</v>
      </c>
      <c r="D11" s="119">
        <f t="shared" si="2"/>
        <v>0</v>
      </c>
      <c r="E11" s="119">
        <f t="shared" si="2"/>
        <v>0</v>
      </c>
      <c r="F11" s="119">
        <f t="shared" si="2"/>
        <v>0</v>
      </c>
      <c r="G11" s="119">
        <f t="shared" si="2"/>
        <v>0</v>
      </c>
      <c r="H11" s="119">
        <f t="shared" si="2"/>
        <v>0</v>
      </c>
      <c r="I11" s="119">
        <f t="shared" si="2"/>
        <v>0</v>
      </c>
      <c r="J11" s="119">
        <f t="shared" si="2"/>
        <v>0</v>
      </c>
      <c r="K11" s="119">
        <f t="shared" si="2"/>
        <v>0</v>
      </c>
      <c r="L11" s="119">
        <f t="shared" si="2"/>
        <v>0</v>
      </c>
      <c r="M11" s="119">
        <f t="shared" si="2"/>
        <v>0</v>
      </c>
      <c r="N11" s="119">
        <f t="shared" si="2"/>
        <v>0</v>
      </c>
      <c r="O11" s="119">
        <f t="shared" si="2"/>
        <v>0</v>
      </c>
      <c r="P11" s="119">
        <f t="shared" si="2"/>
        <v>0</v>
      </c>
      <c r="Q11" s="119">
        <f t="shared" si="2"/>
        <v>0</v>
      </c>
      <c r="R11" s="119">
        <f t="shared" si="2"/>
        <v>0</v>
      </c>
      <c r="S11" s="119"/>
      <c r="T11" s="119"/>
      <c r="U11" s="119"/>
    </row>
    <row r="12" spans="3:21" ht="12.75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1:21" ht="15.75">
      <c r="A13" s="12" t="s">
        <v>92</v>
      </c>
      <c r="C13" s="119"/>
      <c r="D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</row>
    <row r="14" spans="1:4" ht="15.75">
      <c r="A14" s="124" t="s">
        <v>91</v>
      </c>
      <c r="B14" s="120"/>
      <c r="C14" s="120"/>
      <c r="D14" s="119"/>
    </row>
    <row r="15" spans="2:4" ht="12.75">
      <c r="B15" s="120"/>
      <c r="C15" s="120"/>
      <c r="D15" s="119"/>
    </row>
    <row r="16" spans="2:4" ht="12.75">
      <c r="B16" s="120"/>
      <c r="C16" s="120"/>
      <c r="D16" s="119"/>
    </row>
    <row r="22" spans="2:3" ht="12.75">
      <c r="B22" s="120"/>
      <c r="C22" s="120"/>
    </row>
    <row r="23" spans="2:3" ht="12.75">
      <c r="B23" s="120"/>
      <c r="C23" s="120"/>
    </row>
    <row r="24" spans="2:3" ht="12.75">
      <c r="B24" s="120"/>
      <c r="C24" s="120"/>
    </row>
  </sheetData>
  <sheetProtection/>
  <printOptions/>
  <pageMargins left="0.25" right="0" top="1" bottom="1" header="0.5" footer="0.5"/>
  <pageSetup fitToHeight="1" fitToWidth="1" horizontalDpi="600" verticalDpi="6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3.421875" style="0" customWidth="1"/>
    <col min="2" max="2" width="15.57421875" style="0" bestFit="1" customWidth="1"/>
    <col min="3" max="3" width="12.8515625" style="0" customWidth="1"/>
    <col min="4" max="5" width="14.140625" style="0" customWidth="1"/>
    <col min="6" max="6" width="13.8515625" style="0" customWidth="1"/>
    <col min="7" max="7" width="12.57421875" style="0" bestFit="1" customWidth="1"/>
    <col min="8" max="8" width="12.00390625" style="0" customWidth="1"/>
    <col min="9" max="10" width="11.140625" style="0" bestFit="1" customWidth="1"/>
  </cols>
  <sheetData>
    <row r="1" spans="1:6" ht="18">
      <c r="A1" s="63" t="s">
        <v>41</v>
      </c>
      <c r="B1" s="64"/>
      <c r="C1" s="64"/>
      <c r="D1" s="64"/>
      <c r="E1" s="64"/>
      <c r="F1" s="64"/>
    </row>
    <row r="2" spans="1:6" ht="12.75">
      <c r="A2" t="s">
        <v>42</v>
      </c>
      <c r="B2" s="65">
        <v>1347</v>
      </c>
      <c r="C2" s="64" t="s">
        <v>36</v>
      </c>
      <c r="D2" s="65">
        <f>+B2*12</f>
        <v>16164</v>
      </c>
      <c r="E2" s="64"/>
      <c r="F2" s="64"/>
    </row>
    <row r="3" spans="1:6" ht="12.75">
      <c r="A3" s="64" t="s">
        <v>45</v>
      </c>
      <c r="B3" s="66">
        <v>131</v>
      </c>
      <c r="C3" s="74"/>
      <c r="F3" s="64"/>
    </row>
    <row r="4" spans="1:6" ht="12.75">
      <c r="A4" t="s">
        <v>43</v>
      </c>
      <c r="B4" s="64"/>
      <c r="C4" s="64"/>
      <c r="D4" s="64"/>
      <c r="E4" s="64"/>
      <c r="F4" s="98">
        <f>+B3*D2</f>
        <v>2117484</v>
      </c>
    </row>
    <row r="5" spans="2:6" ht="12.75">
      <c r="B5" s="64"/>
      <c r="C5" s="64"/>
      <c r="D5" s="67" t="s">
        <v>44</v>
      </c>
      <c r="E5" s="64"/>
      <c r="F5" s="98">
        <f>+F4*4</f>
        <v>8469936</v>
      </c>
    </row>
    <row r="6" spans="2:6" ht="12.75">
      <c r="B6" s="64"/>
      <c r="C6" s="64"/>
      <c r="D6" s="67"/>
      <c r="E6" s="64"/>
      <c r="F6" s="98"/>
    </row>
    <row r="7" spans="1:6" ht="18">
      <c r="A7" s="63" t="s">
        <v>46</v>
      </c>
      <c r="B7" s="64"/>
      <c r="C7" s="64"/>
      <c r="D7" s="64"/>
      <c r="E7" s="64"/>
      <c r="F7" s="98"/>
    </row>
    <row r="8" spans="2:6" ht="38.25">
      <c r="B8" s="71" t="s">
        <v>37</v>
      </c>
      <c r="C8" s="71" t="s">
        <v>38</v>
      </c>
      <c r="D8" s="71" t="s">
        <v>39</v>
      </c>
      <c r="E8" s="71" t="s">
        <v>54</v>
      </c>
      <c r="F8" s="72" t="s">
        <v>40</v>
      </c>
    </row>
    <row r="9" spans="1:6" ht="12.75">
      <c r="A9" t="s">
        <v>42</v>
      </c>
      <c r="B9" s="65">
        <v>60</v>
      </c>
      <c r="C9" s="65">
        <f>+B9</f>
        <v>60</v>
      </c>
      <c r="D9" s="65">
        <f>+C9</f>
        <v>60</v>
      </c>
      <c r="E9" s="65">
        <f>+D9</f>
        <v>60</v>
      </c>
      <c r="F9" s="64"/>
    </row>
    <row r="10" spans="1:5" ht="12.75">
      <c r="A10" s="106" t="s">
        <v>36</v>
      </c>
      <c r="B10" s="65">
        <f>+B9*12</f>
        <v>720</v>
      </c>
      <c r="C10" s="65">
        <f>+C9*12</f>
        <v>720</v>
      </c>
      <c r="D10" s="65">
        <f>+D9*12</f>
        <v>720</v>
      </c>
      <c r="E10" s="65">
        <f>+E9*12</f>
        <v>720</v>
      </c>
    </row>
    <row r="11" spans="1:5" ht="12.75">
      <c r="A11" s="106" t="s">
        <v>45</v>
      </c>
      <c r="B11" s="66">
        <v>2030</v>
      </c>
      <c r="C11" s="66">
        <f>+B11</f>
        <v>2030</v>
      </c>
      <c r="D11" s="66">
        <f>+C11</f>
        <v>2030</v>
      </c>
      <c r="E11" s="66">
        <f>+D11</f>
        <v>2030</v>
      </c>
    </row>
    <row r="12" spans="2:6" ht="12.75">
      <c r="B12" s="98">
        <f>+B11*B10</f>
        <v>1461600</v>
      </c>
      <c r="C12" s="98">
        <f>+C11*C10</f>
        <v>1461600</v>
      </c>
      <c r="D12" s="98">
        <f>+D11*D10</f>
        <v>1461600</v>
      </c>
      <c r="E12" s="98">
        <f>+E11*E10</f>
        <v>1461600</v>
      </c>
      <c r="F12" s="98">
        <f>+D12+C12+B12+E12</f>
        <v>5846400</v>
      </c>
    </row>
    <row r="13" spans="2:6" ht="12.75">
      <c r="B13" s="64"/>
      <c r="C13" s="64"/>
      <c r="D13" s="67"/>
      <c r="E13" s="64"/>
      <c r="F13" s="98"/>
    </row>
    <row r="14" spans="1:6" ht="18">
      <c r="A14" s="63" t="s">
        <v>47</v>
      </c>
      <c r="B14" s="64"/>
      <c r="C14" s="64"/>
      <c r="D14" s="64"/>
      <c r="E14" s="64"/>
      <c r="F14" s="98"/>
    </row>
    <row r="15" spans="2:6" ht="38.25">
      <c r="B15" s="71" t="s">
        <v>37</v>
      </c>
      <c r="C15" s="71" t="s">
        <v>38</v>
      </c>
      <c r="D15" s="71" t="s">
        <v>39</v>
      </c>
      <c r="E15" s="71" t="s">
        <v>54</v>
      </c>
      <c r="F15" s="72" t="s">
        <v>40</v>
      </c>
    </row>
    <row r="16" spans="1:6" ht="12.75">
      <c r="A16" t="s">
        <v>42</v>
      </c>
      <c r="B16" s="65">
        <v>3</v>
      </c>
      <c r="C16" s="65">
        <f>+B16</f>
        <v>3</v>
      </c>
      <c r="D16" s="65">
        <f>+C16</f>
        <v>3</v>
      </c>
      <c r="E16" s="65">
        <f>+D16</f>
        <v>3</v>
      </c>
      <c r="F16" s="64"/>
    </row>
    <row r="17" spans="1:5" ht="12.75">
      <c r="A17" s="106" t="s">
        <v>36</v>
      </c>
      <c r="B17" s="65">
        <f>+B16*12</f>
        <v>36</v>
      </c>
      <c r="C17" s="65">
        <f>+C16*12</f>
        <v>36</v>
      </c>
      <c r="D17" s="65">
        <f>+D16*12</f>
        <v>36</v>
      </c>
      <c r="E17" s="65">
        <f>+E16*12</f>
        <v>36</v>
      </c>
    </row>
    <row r="18" spans="1:5" ht="12.75">
      <c r="A18" s="106" t="s">
        <v>45</v>
      </c>
      <c r="B18" s="66">
        <v>3334</v>
      </c>
      <c r="C18" s="66">
        <f>+B18</f>
        <v>3334</v>
      </c>
      <c r="D18" s="66">
        <f>+C18</f>
        <v>3334</v>
      </c>
      <c r="E18" s="66">
        <f>+D18</f>
        <v>3334</v>
      </c>
    </row>
    <row r="19" spans="2:6" ht="12.75">
      <c r="B19" s="98">
        <f>+B18*B17</f>
        <v>120024</v>
      </c>
      <c r="C19" s="98">
        <f>+C18*C17</f>
        <v>120024</v>
      </c>
      <c r="D19" s="98">
        <f>+D18*D17</f>
        <v>120024</v>
      </c>
      <c r="E19" s="98">
        <f>+E18*E17</f>
        <v>120024</v>
      </c>
      <c r="F19" s="98">
        <f>+D19+C19+B19+E19</f>
        <v>480096</v>
      </c>
    </row>
    <row r="20" spans="2:6" ht="12.75">
      <c r="B20" s="98"/>
      <c r="C20" s="98"/>
      <c r="D20" s="98"/>
      <c r="E20" s="98"/>
      <c r="F20" s="98"/>
    </row>
    <row r="21" spans="1:6" ht="12.75">
      <c r="A21" s="69" t="s">
        <v>48</v>
      </c>
      <c r="B21" s="98"/>
      <c r="C21" s="98">
        <f>+C19+C12+$F4</f>
        <v>3699108</v>
      </c>
      <c r="D21" s="98">
        <f>+D19+D12+$F4</f>
        <v>3699108</v>
      </c>
      <c r="E21" s="98">
        <f>+E19+E12+$F4</f>
        <v>3699108</v>
      </c>
      <c r="F21" s="98">
        <f>+F19+F12+F5</f>
        <v>14796432</v>
      </c>
    </row>
    <row r="22" spans="1:6" ht="12.75">
      <c r="A22" s="73"/>
      <c r="B22" s="103"/>
      <c r="C22" s="65"/>
      <c r="D22" s="64"/>
      <c r="E22" s="64"/>
      <c r="F22" s="70"/>
    </row>
    <row r="23" spans="1:6" ht="12.75">
      <c r="A23" s="69"/>
      <c r="B23" s="70"/>
      <c r="C23" s="70"/>
      <c r="D23" s="70"/>
      <c r="E23" s="70"/>
      <c r="F23" s="70"/>
    </row>
    <row r="24" spans="1:6" ht="12.75">
      <c r="A24" s="69"/>
      <c r="B24" s="70"/>
      <c r="C24" s="70"/>
      <c r="D24" s="70"/>
      <c r="E24" s="70"/>
      <c r="F24" s="70"/>
    </row>
    <row r="25" spans="1:6" ht="12.75">
      <c r="A25" s="69"/>
      <c r="B25" s="104"/>
      <c r="C25" s="104"/>
      <c r="D25" s="104"/>
      <c r="E25" s="104"/>
      <c r="F25" s="70"/>
    </row>
    <row r="26" spans="1:6" ht="12.75">
      <c r="A26" s="69"/>
      <c r="B26" s="64"/>
      <c r="C26" s="64"/>
      <c r="D26" s="64"/>
      <c r="E26" s="64"/>
      <c r="F26" s="64"/>
    </row>
    <row r="27" spans="2:6" ht="12.75">
      <c r="B27" s="68"/>
      <c r="C27" s="68"/>
      <c r="D27" s="68"/>
      <c r="E27" s="68"/>
      <c r="F27" s="68"/>
    </row>
    <row r="28" spans="2:6" ht="12.75">
      <c r="B28" s="68"/>
      <c r="C28" s="68"/>
      <c r="D28" s="68"/>
      <c r="E28" s="68"/>
      <c r="F28" s="68"/>
    </row>
    <row r="29" spans="2:6" ht="12.75">
      <c r="B29" s="68"/>
      <c r="C29" s="68"/>
      <c r="D29" s="68"/>
      <c r="E29" s="68"/>
      <c r="F29" s="68"/>
    </row>
    <row r="30" spans="1:6" ht="15">
      <c r="A30" s="102"/>
      <c r="B30" s="100"/>
      <c r="C30" s="100"/>
      <c r="D30" s="100"/>
      <c r="E30" s="100"/>
      <c r="F30" s="100"/>
    </row>
    <row r="31" spans="2:6" ht="12.75">
      <c r="B31" s="68"/>
      <c r="C31" s="68"/>
      <c r="D31" s="68"/>
      <c r="E31" s="68"/>
      <c r="F31" s="64"/>
    </row>
    <row r="32" spans="2:6" ht="12.75">
      <c r="B32" s="68"/>
      <c r="C32" s="68"/>
      <c r="D32" s="68"/>
      <c r="E32" s="68"/>
      <c r="F32" s="68"/>
    </row>
    <row r="33" spans="2:6" ht="12.75">
      <c r="B33" s="68"/>
      <c r="C33" s="68"/>
      <c r="D33" s="68"/>
      <c r="E33" s="68"/>
      <c r="F33" s="68"/>
    </row>
    <row r="34" spans="2:6" ht="12.75">
      <c r="B34" s="68"/>
      <c r="C34" s="68"/>
      <c r="D34" s="68"/>
      <c r="E34" s="68"/>
      <c r="F34" s="68"/>
    </row>
    <row r="35" spans="1:6" ht="15">
      <c r="A35" s="102"/>
      <c r="B35" s="100"/>
      <c r="C35" s="100"/>
      <c r="D35" s="100"/>
      <c r="E35" s="100"/>
      <c r="F35" s="100"/>
    </row>
    <row r="36" spans="2:6" ht="12.75">
      <c r="B36" s="68"/>
      <c r="C36" s="68"/>
      <c r="D36" s="68"/>
      <c r="E36" s="68"/>
      <c r="F36" s="68"/>
    </row>
    <row r="37" spans="1:6" ht="12.75">
      <c r="A37" s="69"/>
      <c r="B37" s="64"/>
      <c r="C37" s="64"/>
      <c r="D37" s="64"/>
      <c r="E37" s="64"/>
      <c r="F37" s="64"/>
    </row>
    <row r="38" spans="2:6" ht="12.75">
      <c r="B38" s="64"/>
      <c r="C38" s="64"/>
      <c r="D38" s="64"/>
      <c r="E38" s="64"/>
      <c r="F38" s="64"/>
    </row>
    <row r="60" spans="2:6" ht="12.75">
      <c r="B60" s="64"/>
      <c r="C60" s="64"/>
      <c r="D60" s="67"/>
      <c r="E60" s="64"/>
      <c r="F60" s="98"/>
    </row>
    <row r="61" spans="1:6" ht="18">
      <c r="A61" s="63"/>
      <c r="B61" s="64"/>
      <c r="C61" s="64"/>
      <c r="D61" s="64"/>
      <c r="E61" s="64"/>
      <c r="F61" s="64"/>
    </row>
    <row r="62" spans="2:6" ht="12.75">
      <c r="B62" s="64"/>
      <c r="C62" s="64"/>
      <c r="D62" s="64"/>
      <c r="E62" s="64"/>
      <c r="F62" s="64"/>
    </row>
    <row r="63" spans="1:7" ht="12.75">
      <c r="A63" s="75"/>
      <c r="B63" s="75"/>
      <c r="C63" s="71"/>
      <c r="D63" s="71"/>
      <c r="E63" s="71"/>
      <c r="F63" s="71"/>
      <c r="G63" s="72"/>
    </row>
    <row r="64" spans="1:10" ht="12.75">
      <c r="A64" s="76"/>
      <c r="B64" s="77"/>
      <c r="C64" s="78"/>
      <c r="D64" s="78"/>
      <c r="E64" s="78"/>
      <c r="F64" s="78"/>
      <c r="G64" s="68"/>
      <c r="H64" s="78"/>
      <c r="I64" s="78"/>
      <c r="J64" s="78"/>
    </row>
    <row r="65" spans="1:10" ht="12.75">
      <c r="A65" s="76"/>
      <c r="B65" s="77"/>
      <c r="C65" s="78"/>
      <c r="D65" s="78"/>
      <c r="E65" s="78"/>
      <c r="F65" s="78"/>
      <c r="G65" s="68"/>
      <c r="H65" s="78"/>
      <c r="I65" s="78"/>
      <c r="J65" s="78"/>
    </row>
    <row r="66" spans="1:10" ht="12.75">
      <c r="A66" s="76"/>
      <c r="B66" s="77"/>
      <c r="C66" s="78"/>
      <c r="D66" s="78"/>
      <c r="E66" s="78"/>
      <c r="F66" s="78"/>
      <c r="G66" s="68"/>
      <c r="H66" s="78"/>
      <c r="I66" s="78"/>
      <c r="J66" s="78"/>
    </row>
    <row r="67" spans="1:10" s="101" customFormat="1" ht="15">
      <c r="A67" s="99"/>
      <c r="B67" s="80"/>
      <c r="C67" s="81"/>
      <c r="D67" s="81"/>
      <c r="E67" s="81"/>
      <c r="F67" s="81"/>
      <c r="G67" s="81"/>
      <c r="H67" s="81"/>
      <c r="I67" s="81"/>
      <c r="J67" s="81"/>
    </row>
    <row r="68" spans="1:7" ht="12.75">
      <c r="A68" s="76"/>
      <c r="B68" s="77"/>
      <c r="C68" s="82"/>
      <c r="G68" s="27"/>
    </row>
    <row r="69" spans="1:8" ht="12.75">
      <c r="A69" s="76"/>
      <c r="B69" s="77"/>
      <c r="C69" s="78"/>
      <c r="D69" s="78"/>
      <c r="E69" s="27"/>
      <c r="F69" s="27"/>
      <c r="G69" s="68"/>
      <c r="H69" s="105"/>
    </row>
    <row r="70" spans="1:7" ht="12.75">
      <c r="A70" s="76"/>
      <c r="B70" s="77"/>
      <c r="C70" s="78"/>
      <c r="D70" s="78"/>
      <c r="E70" s="27"/>
      <c r="F70" s="27"/>
      <c r="G70" s="68"/>
    </row>
    <row r="71" spans="1:7" ht="12.75">
      <c r="A71" s="79"/>
      <c r="B71" s="80"/>
      <c r="C71" s="81"/>
      <c r="D71" s="81"/>
      <c r="E71" s="81"/>
      <c r="F71" s="81"/>
      <c r="G71" s="81"/>
    </row>
    <row r="72" spans="1:7" ht="12.75">
      <c r="A72" s="76"/>
      <c r="B72" s="77"/>
      <c r="C72" s="27"/>
      <c r="D72" s="27"/>
      <c r="E72" s="27"/>
      <c r="F72" s="27"/>
      <c r="G72" s="27"/>
    </row>
    <row r="73" spans="1:7" s="101" customFormat="1" ht="15">
      <c r="A73" s="99"/>
      <c r="B73" s="80"/>
      <c r="C73" s="81"/>
      <c r="D73" s="81"/>
      <c r="E73" s="81"/>
      <c r="F73" s="81"/>
      <c r="G73" s="81"/>
    </row>
    <row r="74" spans="1:3" ht="12.75">
      <c r="A74" s="76"/>
      <c r="B74" s="77"/>
      <c r="C74" s="82"/>
    </row>
    <row r="76" ht="12.75">
      <c r="A76" s="69"/>
    </row>
    <row r="77" ht="12.75">
      <c r="A77" s="69"/>
    </row>
    <row r="78" spans="1:4" ht="12.75">
      <c r="A78" s="76"/>
      <c r="C78" s="66"/>
      <c r="D78" s="66"/>
    </row>
    <row r="79" spans="1:4" ht="12.75">
      <c r="A79" s="76"/>
      <c r="C79" s="66"/>
      <c r="D79" s="66"/>
    </row>
    <row r="80" spans="1:4" ht="12.75">
      <c r="A80" s="69"/>
      <c r="C80" s="66"/>
      <c r="D80" s="66"/>
    </row>
    <row r="81" spans="1:4" ht="12.75">
      <c r="A81" s="76"/>
      <c r="C81" s="66"/>
      <c r="D81" s="66"/>
    </row>
    <row r="82" spans="1:4" ht="12.75">
      <c r="A82" s="76"/>
      <c r="C82" s="66"/>
      <c r="D82" s="66"/>
    </row>
    <row r="84" spans="1:2" ht="18">
      <c r="A84" s="63"/>
      <c r="B84" s="65"/>
    </row>
    <row r="86" spans="2:6" ht="12.75">
      <c r="B86" s="65"/>
      <c r="F86" s="72"/>
    </row>
    <row r="87" spans="2:5" ht="13.5" thickBot="1">
      <c r="B87" s="65"/>
      <c r="C87" s="71"/>
      <c r="D87" s="71"/>
      <c r="E87" s="71"/>
    </row>
    <row r="88" spans="1:6" ht="13.5" thickBot="1">
      <c r="A88" s="83"/>
      <c r="B88" s="84"/>
      <c r="C88" s="84"/>
      <c r="D88" s="84"/>
      <c r="E88" s="84"/>
      <c r="F88" s="85"/>
    </row>
    <row r="89" spans="1:6" ht="12.75">
      <c r="A89" s="86"/>
      <c r="B89" s="87"/>
      <c r="C89" s="87"/>
      <c r="D89" s="87"/>
      <c r="E89" s="87"/>
      <c r="F89" s="88"/>
    </row>
    <row r="90" spans="1:6" ht="12.75">
      <c r="A90" s="89"/>
      <c r="B90" s="90"/>
      <c r="C90" s="90"/>
      <c r="D90" s="90"/>
      <c r="E90" s="90"/>
      <c r="F90" s="91"/>
    </row>
    <row r="91" spans="1:6" ht="12.75">
      <c r="A91" s="89"/>
      <c r="B91" s="92"/>
      <c r="C91" s="92"/>
      <c r="D91" s="92"/>
      <c r="E91" s="92"/>
      <c r="F91" s="91"/>
    </row>
    <row r="92" spans="1:6" ht="13.5" thickBot="1">
      <c r="A92" s="93"/>
      <c r="B92" s="94"/>
      <c r="C92" s="94"/>
      <c r="D92" s="94"/>
      <c r="E92" s="94"/>
      <c r="F92" s="91"/>
    </row>
    <row r="93" spans="1:6" ht="13.5" thickBot="1">
      <c r="A93" s="95"/>
      <c r="B93" s="96"/>
      <c r="C93" s="96"/>
      <c r="D93" s="96"/>
      <c r="E93" s="96"/>
      <c r="F93" s="97"/>
    </row>
  </sheetData>
  <sheetProtection/>
  <printOptions/>
  <pageMargins left="0.75" right="0.75" top="0.75" bottom="0.5" header="0.5" footer="0.5"/>
  <pageSetup horizontalDpi="600" verticalDpi="600" orientation="landscape" r:id="rId1"/>
  <rowBreaks count="1" manualBreakCount="1">
    <brk id="6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8.421875" style="0" customWidth="1"/>
    <col min="2" max="2" width="23.140625" style="0" customWidth="1"/>
    <col min="3" max="3" width="23.8515625" style="0" customWidth="1"/>
    <col min="4" max="4" width="23.140625" style="0" customWidth="1"/>
    <col min="5" max="5" width="23.8515625" style="0" customWidth="1"/>
    <col min="6" max="6" width="1.8515625" style="0" customWidth="1"/>
  </cols>
  <sheetData>
    <row r="1" spans="1:5" ht="18.75" customHeight="1">
      <c r="A1" s="41" t="s">
        <v>0</v>
      </c>
      <c r="B1" s="41"/>
      <c r="C1" s="42"/>
      <c r="D1" s="42"/>
      <c r="E1" s="42"/>
    </row>
    <row r="2" spans="1:5" ht="18.75" customHeight="1">
      <c r="A2" s="41" t="str">
        <f>+Summary!B3</f>
        <v>Projected 1115 Waiver Budget Neutrality Impact Through December 2014</v>
      </c>
      <c r="B2" s="41"/>
      <c r="C2" s="42"/>
      <c r="D2" s="42"/>
      <c r="E2" s="42"/>
    </row>
    <row r="3" spans="1:5" ht="18.75" customHeight="1" thickBot="1">
      <c r="A3" s="41" t="s">
        <v>34</v>
      </c>
      <c r="B3" s="41"/>
      <c r="C3" s="42"/>
      <c r="D3" s="42"/>
      <c r="E3" s="42"/>
    </row>
    <row r="4" spans="1:5" ht="63.75" thickBot="1">
      <c r="A4" s="43" t="s">
        <v>4</v>
      </c>
      <c r="B4" s="44" t="s">
        <v>2</v>
      </c>
      <c r="C4" s="44" t="s">
        <v>31</v>
      </c>
      <c r="D4" s="44" t="s">
        <v>32</v>
      </c>
      <c r="E4" s="44" t="s">
        <v>33</v>
      </c>
    </row>
    <row r="5" spans="1:5" ht="22.5" customHeight="1">
      <c r="A5" s="45" t="s">
        <v>21</v>
      </c>
      <c r="B5" s="46">
        <v>-4359823723.690364</v>
      </c>
      <c r="C5" s="47">
        <v>-382781944</v>
      </c>
      <c r="D5" s="47">
        <v>-382781944</v>
      </c>
      <c r="E5" s="57">
        <v>-382781944</v>
      </c>
    </row>
    <row r="6" spans="1:5" ht="22.5" customHeight="1">
      <c r="A6" s="48" t="s">
        <v>22</v>
      </c>
      <c r="B6" s="49">
        <v>-4253235308</v>
      </c>
      <c r="C6" s="50">
        <v>0</v>
      </c>
      <c r="D6" s="50">
        <v>0</v>
      </c>
      <c r="E6" s="58">
        <v>0</v>
      </c>
    </row>
    <row r="7" spans="1:5" ht="22.5" customHeight="1">
      <c r="A7" s="51" t="s">
        <v>23</v>
      </c>
      <c r="B7" s="49">
        <v>190381724</v>
      </c>
      <c r="C7" s="50">
        <v>0</v>
      </c>
      <c r="D7" s="50">
        <v>0</v>
      </c>
      <c r="E7" s="58">
        <v>0</v>
      </c>
    </row>
    <row r="8" spans="1:5" ht="22.5" customHeight="1">
      <c r="A8" s="48" t="s">
        <v>24</v>
      </c>
      <c r="B8" s="49">
        <v>2941270512</v>
      </c>
      <c r="C8" s="50">
        <v>0</v>
      </c>
      <c r="D8" s="50">
        <v>0</v>
      </c>
      <c r="E8" s="58">
        <v>0</v>
      </c>
    </row>
    <row r="9" spans="1:5" ht="22.5" customHeight="1">
      <c r="A9" s="48" t="s">
        <v>25</v>
      </c>
      <c r="B9" s="49">
        <v>1438025127.4071558</v>
      </c>
      <c r="C9" s="50">
        <v>103560602.66666667</v>
      </c>
      <c r="D9" s="50">
        <v>103560602.66666667</v>
      </c>
      <c r="E9" s="58">
        <v>103560602.66666667</v>
      </c>
    </row>
    <row r="10" spans="1:5" ht="22.5" customHeight="1">
      <c r="A10" s="48" t="s">
        <v>26</v>
      </c>
      <c r="B10" s="49">
        <v>316334876.9672939</v>
      </c>
      <c r="C10" s="50">
        <v>0</v>
      </c>
      <c r="D10" s="50">
        <v>0</v>
      </c>
      <c r="E10" s="58">
        <v>0</v>
      </c>
    </row>
    <row r="11" spans="1:5" ht="22.5" customHeight="1">
      <c r="A11" s="48" t="s">
        <v>27</v>
      </c>
      <c r="B11" s="49">
        <v>0</v>
      </c>
      <c r="C11" s="50">
        <v>0</v>
      </c>
      <c r="D11" s="50">
        <v>0</v>
      </c>
      <c r="E11" s="58">
        <v>0</v>
      </c>
    </row>
    <row r="12" spans="1:5" ht="22.5" customHeight="1">
      <c r="A12" s="48" t="s">
        <v>28</v>
      </c>
      <c r="B12" s="49">
        <v>187860676.40914258</v>
      </c>
      <c r="C12" s="50">
        <v>0</v>
      </c>
      <c r="D12" s="50">
        <v>0</v>
      </c>
      <c r="E12" s="58">
        <v>0</v>
      </c>
    </row>
    <row r="13" spans="1:5" ht="22.5" customHeight="1" thickBot="1">
      <c r="A13" s="52" t="s">
        <v>29</v>
      </c>
      <c r="B13" s="53">
        <v>274934733.15533525</v>
      </c>
      <c r="C13" s="54">
        <v>7301806.666666666</v>
      </c>
      <c r="D13" s="54">
        <v>4549593.333333333</v>
      </c>
      <c r="E13" s="59">
        <v>4549593.333333333</v>
      </c>
    </row>
    <row r="14" spans="1:5" ht="22.5" customHeight="1" thickBot="1">
      <c r="A14" s="55" t="s">
        <v>30</v>
      </c>
      <c r="B14" s="56">
        <v>-3264251381.751437</v>
      </c>
      <c r="C14" s="56">
        <v>-271919534.6666666</v>
      </c>
      <c r="D14" s="56">
        <v>-274671748</v>
      </c>
      <c r="E14" s="56">
        <v>-274671748</v>
      </c>
    </row>
    <row r="15" ht="9" customHeight="1"/>
  </sheetData>
  <sheetProtection/>
  <printOptions/>
  <pageMargins left="0.5" right="0.2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Adella Lamb</dc:creator>
  <cp:keywords/>
  <dc:description/>
  <cp:lastModifiedBy>Kim Fraim</cp:lastModifiedBy>
  <cp:lastPrinted>2014-05-15T16:52:55Z</cp:lastPrinted>
  <dcterms:created xsi:type="dcterms:W3CDTF">2007-11-13T17:58:08Z</dcterms:created>
  <dcterms:modified xsi:type="dcterms:W3CDTF">2016-01-22T15:00:25Z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