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8_{B262FBA5-1AC0-47FE-8699-C272FCA4212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CDPAP 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5" i="1" l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319" i="1" l="1"/>
  <c r="A319" i="1"/>
  <c r="D266" i="1"/>
  <c r="A266" i="1"/>
  <c r="D156" i="1"/>
  <c r="A156" i="1"/>
  <c r="D44" i="1"/>
  <c r="A44" i="1"/>
  <c r="D204" i="1"/>
  <c r="A204" i="1"/>
  <c r="D346" i="1"/>
  <c r="A346" i="1"/>
  <c r="D251" i="1"/>
  <c r="A251" i="1"/>
  <c r="D250" i="1"/>
  <c r="A250" i="1"/>
  <c r="D249" i="1"/>
  <c r="A249" i="1"/>
  <c r="D407" i="1"/>
  <c r="A407" i="1"/>
  <c r="D105" i="1"/>
  <c r="A105" i="1"/>
  <c r="D104" i="1"/>
  <c r="A104" i="1"/>
  <c r="D349" i="1"/>
  <c r="A349" i="1"/>
  <c r="D348" i="1"/>
  <c r="A348" i="1"/>
  <c r="D347" i="1"/>
  <c r="A347" i="1"/>
  <c r="D352" i="1"/>
  <c r="A352" i="1"/>
  <c r="D247" i="1"/>
  <c r="A247" i="1"/>
  <c r="D293" i="1"/>
  <c r="A293" i="1"/>
  <c r="D292" i="1"/>
  <c r="A292" i="1"/>
  <c r="D291" i="1"/>
  <c r="A291" i="1"/>
  <c r="D213" i="1"/>
  <c r="A213" i="1"/>
  <c r="D203" i="1"/>
  <c r="A203" i="1"/>
  <c r="D202" i="1"/>
  <c r="A202" i="1"/>
  <c r="D201" i="1"/>
  <c r="A201" i="1"/>
  <c r="D198" i="1"/>
  <c r="A198" i="1"/>
  <c r="D200" i="1"/>
  <c r="A200" i="1"/>
  <c r="D199" i="1"/>
  <c r="A199" i="1"/>
  <c r="D401" i="1"/>
  <c r="A401" i="1"/>
  <c r="D183" i="1"/>
  <c r="A183" i="1"/>
  <c r="D182" i="1"/>
  <c r="A182" i="1"/>
  <c r="D180" i="1"/>
  <c r="A180" i="1"/>
  <c r="D181" i="1"/>
  <c r="A181" i="1"/>
  <c r="D179" i="1"/>
  <c r="A179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318" i="1"/>
  <c r="A318" i="1"/>
  <c r="D343" i="1"/>
  <c r="A343" i="1"/>
  <c r="D342" i="1"/>
  <c r="A342" i="1"/>
  <c r="D150" i="1"/>
  <c r="A150" i="1"/>
  <c r="D149" i="1"/>
  <c r="A149" i="1"/>
  <c r="D138" i="1"/>
  <c r="A138" i="1"/>
  <c r="D35" i="1"/>
  <c r="A35" i="1"/>
  <c r="D301" i="1"/>
  <c r="A301" i="1"/>
  <c r="D300" i="1"/>
  <c r="A300" i="1"/>
  <c r="D351" i="1"/>
  <c r="A351" i="1"/>
  <c r="D350" i="1"/>
  <c r="A350" i="1"/>
  <c r="D265" i="1"/>
  <c r="A265" i="1"/>
  <c r="D386" i="1"/>
  <c r="A386" i="1"/>
  <c r="D87" i="1"/>
  <c r="A87" i="1"/>
  <c r="D78" i="1"/>
  <c r="A78" i="1"/>
  <c r="D79" i="1"/>
  <c r="A79" i="1"/>
  <c r="D227" i="1"/>
  <c r="A227" i="1"/>
  <c r="D226" i="1"/>
  <c r="A226" i="1"/>
  <c r="D225" i="1"/>
  <c r="A225" i="1"/>
  <c r="D260" i="1"/>
  <c r="A260" i="1"/>
  <c r="D80" i="1"/>
  <c r="A80" i="1"/>
  <c r="D159" i="1"/>
  <c r="A159" i="1"/>
  <c r="D158" i="1"/>
  <c r="A158" i="1"/>
  <c r="D157" i="1"/>
  <c r="A157" i="1"/>
  <c r="D362" i="1"/>
  <c r="A362" i="1"/>
  <c r="D7" i="1"/>
  <c r="A7" i="1"/>
  <c r="D6" i="1"/>
  <c r="A6" i="1"/>
  <c r="D363" i="1"/>
  <c r="A363" i="1"/>
  <c r="D77" i="1"/>
  <c r="A77" i="1"/>
  <c r="D76" i="1"/>
  <c r="A76" i="1"/>
  <c r="D75" i="1"/>
  <c r="A75" i="1"/>
  <c r="D74" i="1"/>
  <c r="A74" i="1"/>
  <c r="D73" i="1"/>
  <c r="A73" i="1"/>
  <c r="D278" i="1"/>
  <c r="A278" i="1"/>
  <c r="D289" i="1"/>
  <c r="A289" i="1"/>
  <c r="D288" i="1"/>
  <c r="A288" i="1"/>
  <c r="D290" i="1"/>
  <c r="A290" i="1"/>
  <c r="D297" i="1"/>
  <c r="A297" i="1"/>
  <c r="D127" i="1"/>
  <c r="A127" i="1"/>
  <c r="D128" i="1"/>
  <c r="A128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404" i="1"/>
  <c r="A404" i="1"/>
  <c r="D403" i="1"/>
  <c r="A403" i="1"/>
  <c r="D406" i="1"/>
  <c r="A406" i="1"/>
  <c r="D405" i="1"/>
  <c r="A405" i="1"/>
  <c r="D415" i="1"/>
  <c r="A415" i="1"/>
  <c r="D259" i="1"/>
  <c r="A259" i="1"/>
  <c r="D258" i="1"/>
  <c r="A258" i="1"/>
  <c r="D252" i="1"/>
  <c r="A252" i="1"/>
  <c r="D257" i="1"/>
  <c r="A257" i="1"/>
  <c r="D253" i="1"/>
  <c r="A253" i="1"/>
  <c r="D256" i="1"/>
  <c r="A256" i="1"/>
  <c r="D255" i="1"/>
  <c r="A255" i="1"/>
  <c r="D254" i="1"/>
  <c r="A254" i="1"/>
  <c r="D189" i="1"/>
  <c r="A189" i="1"/>
  <c r="D188" i="1"/>
  <c r="A188" i="1"/>
  <c r="D243" i="1"/>
  <c r="A243" i="1"/>
  <c r="D242" i="1"/>
  <c r="A242" i="1"/>
  <c r="D241" i="1"/>
  <c r="A241" i="1"/>
  <c r="D240" i="1"/>
  <c r="A240" i="1"/>
  <c r="D145" i="1"/>
  <c r="A145" i="1"/>
  <c r="D144" i="1"/>
  <c r="A144" i="1"/>
  <c r="D146" i="1"/>
  <c r="A146" i="1"/>
  <c r="D143" i="1"/>
  <c r="A143" i="1"/>
  <c r="D142" i="1"/>
  <c r="A142" i="1"/>
  <c r="D140" i="1"/>
  <c r="A140" i="1"/>
  <c r="D141" i="1"/>
  <c r="A141" i="1"/>
  <c r="D88" i="1"/>
  <c r="A88" i="1"/>
  <c r="D137" i="1"/>
  <c r="A137" i="1"/>
  <c r="D136" i="1"/>
  <c r="A136" i="1"/>
  <c r="D194" i="1"/>
  <c r="A194" i="1"/>
  <c r="D193" i="1"/>
  <c r="A19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134" i="1"/>
  <c r="A134" i="1"/>
  <c r="D133" i="1"/>
  <c r="A133" i="1"/>
  <c r="D132" i="1"/>
  <c r="A132" i="1"/>
  <c r="D131" i="1"/>
  <c r="A131" i="1"/>
  <c r="D130" i="1"/>
  <c r="A130" i="1"/>
  <c r="D129" i="1"/>
  <c r="A129" i="1"/>
  <c r="D279" i="1"/>
  <c r="A279" i="1"/>
  <c r="D154" i="1"/>
  <c r="A154" i="1"/>
  <c r="D205" i="1"/>
  <c r="A205" i="1"/>
  <c r="D30" i="1"/>
  <c r="A30" i="1"/>
  <c r="D29" i="1"/>
  <c r="A29" i="1"/>
  <c r="D28" i="1"/>
  <c r="A28" i="1"/>
  <c r="D27" i="1"/>
  <c r="A27" i="1"/>
  <c r="D26" i="1"/>
  <c r="A26" i="1"/>
  <c r="D245" i="1"/>
  <c r="A245" i="1"/>
  <c r="D184" i="1"/>
  <c r="A184" i="1"/>
  <c r="D116" i="1"/>
  <c r="A116" i="1"/>
  <c r="D115" i="1"/>
  <c r="A115" i="1"/>
  <c r="D114" i="1"/>
  <c r="A114" i="1"/>
  <c r="D113" i="1"/>
  <c r="A113" i="1"/>
  <c r="D135" i="1"/>
  <c r="A135" i="1"/>
  <c r="D155" i="1"/>
  <c r="A155" i="1"/>
  <c r="D233" i="1"/>
  <c r="A233" i="1"/>
  <c r="D326" i="1"/>
  <c r="A326" i="1"/>
  <c r="D325" i="1"/>
  <c r="A325" i="1"/>
  <c r="D361" i="1"/>
  <c r="A361" i="1"/>
  <c r="D360" i="1"/>
  <c r="A360" i="1"/>
  <c r="D359" i="1"/>
  <c r="A359" i="1"/>
  <c r="D264" i="1"/>
  <c r="A264" i="1"/>
  <c r="D263" i="1"/>
  <c r="A263" i="1"/>
  <c r="D25" i="1"/>
  <c r="A25" i="1"/>
  <c r="D24" i="1"/>
  <c r="A24" i="1"/>
  <c r="D23" i="1"/>
  <c r="A23" i="1"/>
  <c r="D72" i="1"/>
  <c r="A72" i="1"/>
  <c r="D71" i="1"/>
  <c r="A71" i="1"/>
  <c r="D299" i="1"/>
  <c r="A299" i="1"/>
  <c r="D298" i="1"/>
  <c r="A298" i="1"/>
  <c r="D296" i="1"/>
  <c r="A296" i="1"/>
  <c r="D321" i="1"/>
  <c r="A321" i="1"/>
  <c r="D117" i="1"/>
  <c r="A117" i="1"/>
  <c r="D399" i="1"/>
  <c r="A399" i="1"/>
  <c r="D398" i="1"/>
  <c r="A398" i="1"/>
  <c r="D397" i="1"/>
  <c r="A397" i="1"/>
  <c r="D396" i="1"/>
  <c r="A396" i="1"/>
  <c r="D395" i="1"/>
  <c r="A395" i="1"/>
  <c r="D394" i="1"/>
  <c r="A394" i="1"/>
  <c r="D393" i="1"/>
  <c r="A393" i="1"/>
  <c r="D392" i="1"/>
  <c r="A392" i="1"/>
  <c r="D391" i="1"/>
  <c r="A391" i="1"/>
  <c r="D390" i="1"/>
  <c r="A390" i="1"/>
  <c r="D389" i="1"/>
  <c r="A389" i="1"/>
  <c r="D388" i="1"/>
  <c r="A388" i="1"/>
  <c r="D387" i="1"/>
  <c r="A387" i="1"/>
  <c r="D232" i="1"/>
  <c r="A232" i="1"/>
  <c r="D246" i="1"/>
  <c r="A246" i="1"/>
  <c r="D317" i="1"/>
  <c r="A317" i="1"/>
  <c r="D118" i="1"/>
  <c r="A118" i="1"/>
  <c r="D400" i="1"/>
  <c r="A400" i="1"/>
  <c r="D192" i="1"/>
  <c r="A192" i="1"/>
  <c r="D228" i="1"/>
  <c r="A228" i="1"/>
  <c r="D305" i="1"/>
  <c r="A305" i="1"/>
  <c r="D167" i="1"/>
  <c r="A167" i="1"/>
  <c r="D235" i="1"/>
  <c r="A235" i="1"/>
  <c r="D234" i="1"/>
  <c r="A234" i="1"/>
  <c r="D277" i="1"/>
  <c r="A277" i="1"/>
  <c r="D276" i="1"/>
  <c r="A276" i="1"/>
  <c r="D160" i="1"/>
  <c r="A160" i="1"/>
  <c r="D165" i="1"/>
  <c r="A165" i="1"/>
  <c r="D164" i="1"/>
  <c r="A164" i="1"/>
  <c r="D163" i="1"/>
  <c r="A163" i="1"/>
  <c r="D166" i="1"/>
  <c r="A166" i="1"/>
  <c r="D162" i="1"/>
  <c r="A162" i="1"/>
  <c r="D161" i="1"/>
  <c r="A161" i="1"/>
  <c r="D402" i="1"/>
  <c r="A402" i="1"/>
  <c r="D244" i="1"/>
  <c r="A244" i="1"/>
  <c r="D248" i="1"/>
  <c r="A248" i="1"/>
  <c r="D19" i="1"/>
  <c r="A19" i="1"/>
  <c r="D18" i="1"/>
  <c r="A18" i="1"/>
  <c r="D17" i="1"/>
  <c r="A17" i="1"/>
  <c r="D16" i="1"/>
  <c r="A16" i="1"/>
  <c r="D295" i="1"/>
  <c r="A295" i="1"/>
  <c r="D294" i="1"/>
  <c r="A294" i="1"/>
  <c r="D139" i="1"/>
  <c r="A139" i="1"/>
  <c r="D12" i="1"/>
  <c r="A12" i="1"/>
  <c r="D11" i="1"/>
  <c r="A11" i="1"/>
  <c r="D10" i="1"/>
  <c r="A10" i="1"/>
  <c r="D9" i="1"/>
  <c r="A9" i="1"/>
  <c r="D8" i="1"/>
  <c r="A8" i="1"/>
  <c r="D327" i="1"/>
  <c r="A327" i="1"/>
  <c r="D345" i="1"/>
  <c r="A345" i="1"/>
  <c r="D344" i="1"/>
  <c r="A344" i="1"/>
  <c r="D39" i="1"/>
  <c r="A39" i="1"/>
  <c r="D41" i="1"/>
  <c r="A41" i="1"/>
  <c r="D40" i="1"/>
  <c r="A40" i="1"/>
  <c r="D211" i="1"/>
  <c r="A211" i="1"/>
  <c r="D210" i="1"/>
  <c r="A210" i="1"/>
  <c r="D382" i="1"/>
  <c r="A382" i="1"/>
  <c r="D381" i="1"/>
  <c r="A381" i="1"/>
  <c r="D34" i="1"/>
  <c r="A34" i="1"/>
  <c r="D33" i="1"/>
  <c r="A33" i="1"/>
  <c r="D282" i="1"/>
  <c r="A282" i="1"/>
  <c r="D281" i="1"/>
  <c r="A281" i="1"/>
  <c r="D280" i="1"/>
  <c r="A280" i="1"/>
  <c r="D324" i="1"/>
  <c r="A324" i="1"/>
  <c r="D323" i="1"/>
  <c r="A323" i="1"/>
  <c r="D322" i="1"/>
  <c r="A322" i="1"/>
  <c r="D270" i="1"/>
  <c r="A270" i="1"/>
  <c r="D269" i="1"/>
  <c r="A269" i="1"/>
  <c r="D268" i="1"/>
  <c r="A268" i="1"/>
  <c r="D267" i="1"/>
  <c r="A267" i="1"/>
  <c r="D38" i="1"/>
  <c r="A38" i="1"/>
  <c r="D37" i="1"/>
  <c r="A37" i="1"/>
  <c r="D36" i="1"/>
  <c r="A36" i="1"/>
  <c r="D357" i="1"/>
  <c r="A357" i="1"/>
  <c r="D356" i="1"/>
  <c r="A356" i="1"/>
  <c r="D355" i="1"/>
  <c r="A355" i="1"/>
  <c r="D354" i="1"/>
  <c r="A354" i="1"/>
  <c r="D353" i="1"/>
  <c r="A353" i="1"/>
  <c r="D112" i="1"/>
  <c r="A112" i="1"/>
  <c r="D111" i="1"/>
  <c r="A111" i="1"/>
  <c r="D110" i="1"/>
  <c r="A110" i="1"/>
  <c r="D341" i="1"/>
  <c r="A341" i="1"/>
  <c r="D340" i="1"/>
  <c r="A340" i="1"/>
  <c r="D339" i="1"/>
  <c r="A339" i="1"/>
  <c r="D338" i="1"/>
  <c r="A338" i="1"/>
  <c r="D337" i="1"/>
  <c r="A337" i="1"/>
  <c r="D336" i="1"/>
  <c r="A336" i="1"/>
  <c r="D335" i="1"/>
  <c r="A335" i="1"/>
  <c r="D334" i="1"/>
  <c r="A334" i="1"/>
  <c r="D333" i="1"/>
  <c r="A333" i="1"/>
  <c r="D332" i="1"/>
  <c r="A332" i="1"/>
  <c r="D331" i="1"/>
  <c r="A331" i="1"/>
  <c r="D330" i="1"/>
  <c r="A330" i="1"/>
  <c r="D329" i="1"/>
  <c r="A329" i="1"/>
  <c r="D328" i="1"/>
  <c r="A328" i="1"/>
  <c r="D284" i="1"/>
  <c r="A284" i="1"/>
  <c r="D283" i="1"/>
  <c r="A283" i="1"/>
  <c r="D57" i="1"/>
  <c r="A57" i="1"/>
  <c r="D22" i="1"/>
  <c r="A22" i="1"/>
  <c r="D21" i="1"/>
  <c r="A21" i="1"/>
  <c r="D20" i="1"/>
  <c r="A20" i="1"/>
  <c r="D214" i="1"/>
  <c r="A214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304" i="1"/>
  <c r="A304" i="1"/>
  <c r="D320" i="1"/>
  <c r="A320" i="1"/>
  <c r="D316" i="1"/>
  <c r="A316" i="1"/>
  <c r="D315" i="1"/>
  <c r="A315" i="1"/>
  <c r="D314" i="1"/>
  <c r="A314" i="1"/>
  <c r="D313" i="1"/>
  <c r="A313" i="1"/>
  <c r="D312" i="1"/>
  <c r="A312" i="1"/>
  <c r="D311" i="1"/>
  <c r="A311" i="1"/>
  <c r="D306" i="1"/>
  <c r="A306" i="1"/>
  <c r="D310" i="1"/>
  <c r="A310" i="1"/>
  <c r="D309" i="1"/>
  <c r="A309" i="1"/>
  <c r="D308" i="1"/>
  <c r="A308" i="1"/>
  <c r="D307" i="1"/>
  <c r="A307" i="1"/>
  <c r="D56" i="1"/>
  <c r="A56" i="1"/>
  <c r="D195" i="1"/>
  <c r="A195" i="1"/>
  <c r="D224" i="1"/>
  <c r="A224" i="1"/>
  <c r="D223" i="1"/>
  <c r="A223" i="1"/>
  <c r="D215" i="1"/>
  <c r="A215" i="1"/>
  <c r="D206" i="1"/>
  <c r="A206" i="1"/>
  <c r="D358" i="1"/>
  <c r="A358" i="1"/>
  <c r="D239" i="1"/>
  <c r="A239" i="1"/>
  <c r="D238" i="1"/>
  <c r="A238" i="1"/>
  <c r="D237" i="1"/>
  <c r="A237" i="1"/>
  <c r="D236" i="1"/>
  <c r="A236" i="1"/>
  <c r="D85" i="1"/>
  <c r="A85" i="1"/>
  <c r="D84" i="1"/>
  <c r="A84" i="1"/>
  <c r="D83" i="1"/>
  <c r="A83" i="1"/>
  <c r="D81" i="1"/>
  <c r="A81" i="1"/>
  <c r="D384" i="1"/>
  <c r="A384" i="1"/>
  <c r="D31" i="1"/>
  <c r="A31" i="1"/>
  <c r="D152" i="1"/>
  <c r="A152" i="1"/>
  <c r="D109" i="1"/>
  <c r="A109" i="1"/>
  <c r="D108" i="1"/>
  <c r="A108" i="1"/>
  <c r="D107" i="1"/>
  <c r="A107" i="1"/>
  <c r="D106" i="1"/>
  <c r="A106" i="1"/>
  <c r="D275" i="1"/>
  <c r="A275" i="1"/>
  <c r="D274" i="1"/>
  <c r="A274" i="1"/>
  <c r="D273" i="1"/>
  <c r="A273" i="1"/>
  <c r="D272" i="1"/>
  <c r="A272" i="1"/>
  <c r="D271" i="1"/>
  <c r="A271" i="1"/>
  <c r="D262" i="1"/>
  <c r="A262" i="1"/>
  <c r="D261" i="1"/>
  <c r="A261" i="1"/>
  <c r="D86" i="1"/>
  <c r="A86" i="1"/>
  <c r="D82" i="1"/>
  <c r="A82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197" i="1"/>
  <c r="A197" i="1"/>
  <c r="D196" i="1"/>
  <c r="A196" i="1"/>
  <c r="D414" i="1"/>
  <c r="A414" i="1"/>
  <c r="D413" i="1"/>
  <c r="A413" i="1"/>
  <c r="D412" i="1"/>
  <c r="A412" i="1"/>
  <c r="D411" i="1"/>
  <c r="A411" i="1"/>
  <c r="D410" i="1"/>
  <c r="A410" i="1"/>
  <c r="D409" i="1"/>
  <c r="A409" i="1"/>
  <c r="D408" i="1"/>
  <c r="A408" i="1"/>
  <c r="D103" i="1"/>
  <c r="A103" i="1"/>
  <c r="D32" i="1"/>
  <c r="A32" i="1"/>
  <c r="D222" i="1"/>
  <c r="A222" i="1"/>
  <c r="D221" i="1"/>
  <c r="A221" i="1"/>
  <c r="D220" i="1"/>
  <c r="A220" i="1"/>
  <c r="D219" i="1"/>
  <c r="A219" i="1"/>
  <c r="D218" i="1"/>
  <c r="A218" i="1"/>
  <c r="D217" i="1"/>
  <c r="A217" i="1"/>
  <c r="D216" i="1"/>
  <c r="A216" i="1"/>
  <c r="D91" i="1"/>
  <c r="A91" i="1"/>
  <c r="D90" i="1"/>
  <c r="A90" i="1"/>
  <c r="D89" i="1"/>
  <c r="A89" i="1"/>
  <c r="D385" i="1"/>
  <c r="A385" i="1"/>
  <c r="D383" i="1"/>
  <c r="A383" i="1"/>
  <c r="D230" i="1"/>
  <c r="A230" i="1"/>
  <c r="D229" i="1"/>
  <c r="A229" i="1"/>
  <c r="D148" i="1"/>
  <c r="A148" i="1"/>
  <c r="D209" i="1"/>
  <c r="A209" i="1"/>
  <c r="D208" i="1"/>
  <c r="A208" i="1"/>
  <c r="D207" i="1"/>
  <c r="A207" i="1"/>
  <c r="D231" i="1"/>
  <c r="A231" i="1"/>
  <c r="D147" i="1"/>
  <c r="A147" i="1"/>
  <c r="D5" i="1"/>
  <c r="A5" i="1"/>
  <c r="D287" i="1"/>
  <c r="A287" i="1"/>
  <c r="D212" i="1"/>
  <c r="A212" i="1"/>
  <c r="D151" i="1"/>
  <c r="A151" i="1"/>
  <c r="D153" i="1"/>
  <c r="A153" i="1"/>
  <c r="D190" i="1"/>
  <c r="A190" i="1"/>
  <c r="D303" i="1"/>
  <c r="A303" i="1"/>
  <c r="D286" i="1"/>
  <c r="A286" i="1"/>
  <c r="D285" i="1"/>
  <c r="A285" i="1"/>
  <c r="D187" i="1"/>
  <c r="A187" i="1"/>
  <c r="D186" i="1"/>
  <c r="A186" i="1"/>
  <c r="D185" i="1"/>
  <c r="A185" i="1"/>
  <c r="D380" i="1"/>
  <c r="A380" i="1"/>
  <c r="D379" i="1"/>
  <c r="A379" i="1"/>
  <c r="D378" i="1"/>
  <c r="A378" i="1"/>
  <c r="D377" i="1"/>
  <c r="A377" i="1"/>
  <c r="D376" i="1"/>
  <c r="A376" i="1"/>
  <c r="D375" i="1"/>
  <c r="A375" i="1"/>
  <c r="D374" i="1"/>
  <c r="A374" i="1"/>
  <c r="D373" i="1"/>
  <c r="A373" i="1"/>
  <c r="D372" i="1"/>
  <c r="A372" i="1"/>
  <c r="D371" i="1"/>
  <c r="A371" i="1"/>
  <c r="D370" i="1"/>
  <c r="A370" i="1"/>
  <c r="D369" i="1"/>
  <c r="A369" i="1"/>
  <c r="D368" i="1"/>
  <c r="A368" i="1"/>
  <c r="D367" i="1"/>
  <c r="A367" i="1"/>
  <c r="D366" i="1"/>
  <c r="A366" i="1"/>
  <c r="D365" i="1"/>
  <c r="A365" i="1"/>
  <c r="D364" i="1"/>
  <c r="A364" i="1"/>
  <c r="D302" i="1"/>
  <c r="A302" i="1"/>
  <c r="D191" i="1"/>
  <c r="A191" i="1"/>
  <c r="D15" i="1"/>
  <c r="A15" i="1"/>
  <c r="D14" i="1"/>
  <c r="A14" i="1"/>
  <c r="D13" i="1"/>
  <c r="A13" i="1"/>
  <c r="D43" i="1"/>
  <c r="A43" i="1"/>
  <c r="D42" i="1"/>
  <c r="A42" i="1"/>
</calcChain>
</file>

<file path=xl/sharedStrings.xml><?xml version="1.0" encoding="utf-8"?>
<sst xmlns="http://schemas.openxmlformats.org/spreadsheetml/2006/main" count="421" uniqueCount="182">
  <si>
    <t>Organization</t>
  </si>
  <si>
    <t>Name</t>
  </si>
  <si>
    <t>Date</t>
  </si>
  <si>
    <t>AIDES AT HOME</t>
  </si>
  <si>
    <t>ABLE HEALTH CARE SERVICE INC.</t>
  </si>
  <si>
    <t>HEALTH ACQUISITION CORP DBA ALLEN HEALTH CARE SERV</t>
  </si>
  <si>
    <t>RECCO HOME CARE</t>
  </si>
  <si>
    <t>UNLIMITED CARE</t>
  </si>
  <si>
    <t>GREATER ADIRONDACK HOME AIDES</t>
  </si>
  <si>
    <t>PERSONAL TOUCH HOME CARE</t>
  </si>
  <si>
    <t>HCR</t>
  </si>
  <si>
    <t>FAMILY SERVICES OF WESTCHESTER</t>
  </si>
  <si>
    <t>FAMILY SERVICE SOCIETY OF YONKERS</t>
  </si>
  <si>
    <t>HOME HEALTH SVS. WEST. JEWISH</t>
  </si>
  <si>
    <t>A &amp; A STAFFING HEALTH CARE</t>
  </si>
  <si>
    <t>FAMILY AND CHILD SERVICE</t>
  </si>
  <si>
    <t>INTERIM HEALTHCARE OF SYRACUSE,INC.</t>
  </si>
  <si>
    <t>HOME AIDES OF CENTRAL NEW YORK</t>
  </si>
  <si>
    <t>HOME AIDES OF CENTRAL NEW YORK, INC.</t>
  </si>
  <si>
    <t>FAMILY AND CHILDREN'S SOCIETY OF BROOME COUNTY</t>
  </si>
  <si>
    <t>INTERIM HEALTHCARE OF BINGHAMTON, INC.</t>
  </si>
  <si>
    <t>VIP HEALTH CARE SERVICES</t>
  </si>
  <si>
    <t>BEST CARE</t>
  </si>
  <si>
    <t>HOMEMAKERS OF WESTERN NY, INC DBA CAREGIVERS</t>
  </si>
  <si>
    <t>ACCREDITED CARE INC.</t>
  </si>
  <si>
    <t>CHAUTAUQUA OPPORTUNITIES</t>
  </si>
  <si>
    <t>HELPING HANDS HOMEMAKING SERV</t>
  </si>
  <si>
    <t>ALL METRO HEALTH CARE</t>
  </si>
  <si>
    <t>ATTENTIVE CARE</t>
  </si>
  <si>
    <t>MERCY HOMECARE</t>
  </si>
  <si>
    <t>NORTH COUNTRY HOME SERVICES, INC.</t>
  </si>
  <si>
    <t>COMMUNITY CARE OF WNY</t>
  </si>
  <si>
    <t>FAMILY SERVICES OF CHEMUNG</t>
  </si>
  <si>
    <t>ACCREDITED AIDES PLUS</t>
  </si>
  <si>
    <t>ULSTER CO. HOME HEALTH</t>
  </si>
  <si>
    <t>HOME &amp; HEALTH CARE SERVICES</t>
  </si>
  <si>
    <t>HOMEMAKERS OF MOHAWK VALLEY, INC DBA CAREGIVERS</t>
  </si>
  <si>
    <t>HUDSON VALLEY HOME CARE</t>
  </si>
  <si>
    <t>HEALTH SERVICES OF NORTHERN NY</t>
  </si>
  <si>
    <t>ALLCARE FAMILY SVCS</t>
  </si>
  <si>
    <t>RESOURCE CENTER FOR INDEPENDENT LIVING, INC.</t>
  </si>
  <si>
    <t>RESOURCE CENTER FOR INDEPENDANT LIVING</t>
  </si>
  <si>
    <t>ANY-TIME HOME CARE</t>
  </si>
  <si>
    <t>HOMEMAKERS OF BROOME, INC DBA CAREGIVERS</t>
  </si>
  <si>
    <t>ACCENTCARE OF NY</t>
  </si>
  <si>
    <t>AMAK HEALTHCARE</t>
  </si>
  <si>
    <t>PEOPLE INC.</t>
  </si>
  <si>
    <t>STAFKINGS HEALTHCARE SYSTEMS</t>
  </si>
  <si>
    <t>COMMUNITY HEALTH AIDE SERVICES</t>
  </si>
  <si>
    <t>U.S. CARE SYSTEMS</t>
  </si>
  <si>
    <t>ADEPT HEALTH CARE SERVICE, INC.</t>
  </si>
  <si>
    <t>NEW YORK HEALTH CARE INC</t>
  </si>
  <si>
    <t>NEW YORK HEALTH CARE INC.</t>
  </si>
  <si>
    <t>SOUTH SHORE HOME HEALTH SERVICE</t>
  </si>
  <si>
    <t>PEOPLE CARE INC</t>
  </si>
  <si>
    <t>ACCU CARE HEALTH SERVICES</t>
  </si>
  <si>
    <t>UTOPIA HOME CARE</t>
  </si>
  <si>
    <t>HOME HEALTH CARE &amp; COMPANION AGENCY, INC.</t>
  </si>
  <si>
    <t>AFTERCARE NURSING SERVICES, INC.</t>
  </si>
  <si>
    <t>AFTERCARE NURSING SERVICE INC</t>
  </si>
  <si>
    <t>SUPERIOR HOME HEALTH CARE</t>
  </si>
  <si>
    <t>ST. FRANCIS HOME CARE SERVICES</t>
  </si>
  <si>
    <t>A &amp; T HEALTHCARE</t>
  </si>
  <si>
    <t>ENABLE</t>
  </si>
  <si>
    <t>PREMIER HOME HEALTH SERVICES INC.</t>
  </si>
  <si>
    <t>ACCENT HEALTH CARE SERVICES INC</t>
  </si>
  <si>
    <t>ACCENT HEALTH CARE SERVICES, INC.</t>
  </si>
  <si>
    <t>MARIAN CARE INC.</t>
  </si>
  <si>
    <t>LONG ISLAND CARE AT HOME</t>
  </si>
  <si>
    <t>WESTCHESTER CARE AT HOME</t>
  </si>
  <si>
    <t>GENESEE REGION HOME CARE OF ONTARIO COUN</t>
  </si>
  <si>
    <t>GENESEE REGION HOME CARE OF ONTARIO COUNTY, INC.</t>
  </si>
  <si>
    <t>G.E.M HEALTH CARE AGENCY INC.</t>
  </si>
  <si>
    <t>NURSES ON HAND REGISTRY</t>
  </si>
  <si>
    <t>JZANUS HOME CARE INC.</t>
  </si>
  <si>
    <t>GENTLE HOME HEALTH CARE</t>
  </si>
  <si>
    <t>REGION CARE INC</t>
  </si>
  <si>
    <t>INDEPENDENT LIVING CENTER OF THE HUDSON VALLEY</t>
  </si>
  <si>
    <t>WARTBURG RESIDENTIAL COMMUNITY INC.</t>
  </si>
  <si>
    <t>CONCEPT CARE INC</t>
  </si>
  <si>
    <t>ROCKLAND INDEPENDENT LIVING CENTER, INC.</t>
  </si>
  <si>
    <t>LOWER WEST SIDE HOUSEHOLD SERVICES CORP</t>
  </si>
  <si>
    <t>J &amp; K HEALTHCARE SERVICES</t>
  </si>
  <si>
    <t>VISITING NURSES HOME CARE CORP</t>
  </si>
  <si>
    <t>COMPREHENSIVE TECHNOLOGY CTR</t>
  </si>
  <si>
    <t>PRESBYTERIAN RESIDENTIAL COMMUNITY, INC.</t>
  </si>
  <si>
    <t>PRIORITY HOME CARE, INC</t>
  </si>
  <si>
    <t>ARISE, INC.</t>
  </si>
  <si>
    <t>ACCESS SUPPORTS FOR LIVING INC</t>
  </si>
  <si>
    <t>MID-HUDSON MANAGED HOME CARE, INC.</t>
  </si>
  <si>
    <t>UNITED CEREBRAL PALSY ASSOC. OF THE NORTH COUNTRY</t>
  </si>
  <si>
    <t>SOUTHERN TIER INDEPENDENCE CENTER</t>
  </si>
  <si>
    <t>JAWANIO, INC.</t>
  </si>
  <si>
    <t>CORTLAND COMMUNITY ACTION PROGRAM</t>
  </si>
  <si>
    <t>COMMUNITY WORK AND INDEPENDENCE</t>
  </si>
  <si>
    <t>COMMUNITY WORK AND INDEPENDENCE INC</t>
  </si>
  <si>
    <t>GRACE CHURCH COMMUNITY CTR DBA NEIGHBORS PROGRAM</t>
  </si>
  <si>
    <t>LONG ISLAND CENTER FOR INDEPENDENT LIVING</t>
  </si>
  <si>
    <t>ACCESS TO INDEPENDENCE AND MOBILITY</t>
  </si>
  <si>
    <t>HOLDEN HOME LICENSED HOME CARE AGENCY</t>
  </si>
  <si>
    <t>FINGER LAKES HOME CARE</t>
  </si>
  <si>
    <t>CONSUMER DIRECTED CHOICES</t>
  </si>
  <si>
    <t>CENTER FOR DISABILITY RIGHTS</t>
  </si>
  <si>
    <t>HEALTH FORCE</t>
  </si>
  <si>
    <t>EDDY LICENSED HOME CARE AGENCY INC</t>
  </si>
  <si>
    <t>BAYSHORE HOME HEALTHCARE, INC.</t>
  </si>
  <si>
    <t>ENS HLTH CARE MGMT (Interim Healthcare)</t>
  </si>
  <si>
    <t>ENS HLTH CARE MGMT (Interim Health Care)</t>
  </si>
  <si>
    <t>ENS HLTH MGMT(Interim Healthcare</t>
  </si>
  <si>
    <t>LIVING RESOURCES HOME CARE AGENCY,INC</t>
  </si>
  <si>
    <t>HAMASPIK OF ORANGE COUNTY</t>
  </si>
  <si>
    <t>HAMASPIK OF ROCKLAND COUNTY, INC.</t>
  </si>
  <si>
    <t>MAXIM OF NY LLC</t>
  </si>
  <si>
    <t>MAXIM HEALTHCARE SERVICES</t>
  </si>
  <si>
    <t>WNY INDEPENDENT LIVING PROJECT</t>
  </si>
  <si>
    <t>WESTERN NY INDEPENDENT LIVING PROJECT</t>
  </si>
  <si>
    <t>WESTERN NY INDEPENDENT LIVING CENTER</t>
  </si>
  <si>
    <t>CONCEPTS OF INDEPENDENT CHOICES</t>
  </si>
  <si>
    <t>CONCEPTS OF INDEPENDENT CHOICES, INC.</t>
  </si>
  <si>
    <t>PRIORITY HOME CARE</t>
  </si>
  <si>
    <t>PLAN-IT STAFFING</t>
  </si>
  <si>
    <t>PLAN IT STAFFING</t>
  </si>
  <si>
    <t>OTSEGO COUNTY PUBLIC HEALTH</t>
  </si>
  <si>
    <t>AT HOME CARE PARTNERS INC</t>
  </si>
  <si>
    <t>AT HOME CARE PARTNERS, INC</t>
  </si>
  <si>
    <t>UNITY AT HOME</t>
  </si>
  <si>
    <t>UNITED HELPERS HOME HEALTH SERVICES</t>
  </si>
  <si>
    <t>FORT HUDSON HOMECARE</t>
  </si>
  <si>
    <t>AT HOME LTD</t>
  </si>
  <si>
    <t>MEDICAL SOLUTIONS, INC.</t>
  </si>
  <si>
    <t>INDEPENDENT HOME CARE INC</t>
  </si>
  <si>
    <t>AT HOME INDEPENDENT CARE, INC</t>
  </si>
  <si>
    <t>AT HOME INDEPENDENT CARE INC.</t>
  </si>
  <si>
    <t>AZOR HOME CARE SERVICES</t>
  </si>
  <si>
    <t>MRS G's SERVICES LLC</t>
  </si>
  <si>
    <t>TOP QUALITY HOME CARE LLC</t>
  </si>
  <si>
    <t>RAMA ASSOCIATES</t>
  </si>
  <si>
    <t>ACS HOME CARE LLC</t>
  </si>
  <si>
    <t>ELDERCHOICE INC</t>
  </si>
  <si>
    <t>FAMILY CARE PED HC A DIVISION OF TRI-BOROUG</t>
  </si>
  <si>
    <t>GLIDEDOWAN LLC</t>
  </si>
  <si>
    <t>WAYNE COUNTY CHAPTER NYSARC INC</t>
  </si>
  <si>
    <t>HERITAGE CHRISTIAN SERVICES INC</t>
  </si>
  <si>
    <t>HOME SWEET HOMECARE OF LI INC</t>
  </si>
  <si>
    <t>PREFERRED HOME CARE OF NEW YORK</t>
  </si>
  <si>
    <t>TRUSTED NURSE STAFFING LLC</t>
  </si>
  <si>
    <t>THE ELIOT AT ERIE STATION LHESA</t>
  </si>
  <si>
    <t>COMMUNITY CARE COMPANIONS INC</t>
  </si>
  <si>
    <t>WHITE GLOVE COMMUNITY CARE INC</t>
  </si>
  <si>
    <t>MARQUIS HOME CARE</t>
  </si>
  <si>
    <t>SUSQUEHANNA HOME HEALTH CARE AGENCY</t>
  </si>
  <si>
    <t>HILLTOP MANOR WEST</t>
  </si>
  <si>
    <t>ALL COUNTY HEALTH CARE OF NEW YORK, INC</t>
  </si>
  <si>
    <t xml:space="preserve">       New York State Department of Health</t>
  </si>
  <si>
    <t xml:space="preserve">  Bureau of Long Term Care Reimbursement</t>
  </si>
  <si>
    <t>County</t>
  </si>
  <si>
    <t xml:space="preserve">Consumer Directed </t>
  </si>
  <si>
    <t xml:space="preserve">Consumer Directed Enhanced </t>
  </si>
  <si>
    <t>Consumer Directed Live In</t>
  </si>
  <si>
    <t>WILLCARE INC</t>
  </si>
  <si>
    <t>WILLCARE INC.</t>
  </si>
  <si>
    <t>LITSON HOME CARE</t>
  </si>
  <si>
    <t>SELFHELP</t>
  </si>
  <si>
    <t>SENECA CAYUGA COUNTIES NYSARC, INC.</t>
  </si>
  <si>
    <t>FINGER LAKES INDEPENDENCE CENTER</t>
  </si>
  <si>
    <t>PEDIATRIC HOME NURSING SERVICES, INC.</t>
  </si>
  <si>
    <t>CONSUMER DIRECTED CHOICES INC</t>
  </si>
  <si>
    <t>MAXIM OF NEW YORK LLC</t>
  </si>
  <si>
    <t>A &amp; J HOME CARE</t>
  </si>
  <si>
    <t>A &amp; J HOMECARE INC</t>
  </si>
  <si>
    <t>VISION HOME CARE SERVICES</t>
  </si>
  <si>
    <t>TOP QUALITY HOME CARE AGENCY LLC</t>
  </si>
  <si>
    <t>SUNSHINE HOME CARE SERVICES</t>
  </si>
  <si>
    <t>SUNSHINE HOME CARE SERVICES CORP</t>
  </si>
  <si>
    <t>ROPEN HEALTH CARE SERVICES INC</t>
  </si>
  <si>
    <t>HERITAGE CHRISTIAN SERVICES I</t>
  </si>
  <si>
    <t>MAGIC HOME CARE LLC</t>
  </si>
  <si>
    <t>THE ELIOT AT ERIE STATION LHCSA</t>
  </si>
  <si>
    <t>FIRSTLIGHT HOME CARE</t>
  </si>
  <si>
    <t>NEW VISION SERVICES INC</t>
  </si>
  <si>
    <t>ROYAL HOME CARE CONSULTING INC</t>
  </si>
  <si>
    <t xml:space="preserve">             2019 CDPAP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</si>
</sst>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 applyAlignment="1">
      <alignment horizontal="center" wrapText="1"/>
    </xf>
    <xf numFmtId="49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5"/>
  <sheetViews>
    <sheetView tabSelected="1" workbookViewId="0">
      <selection activeCell="C4" sqref="C4"/>
    </sheetView>
  </sheetViews>
  <sheetFormatPr defaultRowHeight="14.25" x14ac:dyDescent="0.2"/>
  <cols>
    <col min="1" max="1" width="11.25" style="3" bestFit="1" customWidth="1"/>
    <col min="2" max="2" width="58.375" bestFit="1" customWidth="1"/>
    <col min="3" max="3" width="7.875" bestFit="1" customWidth="1"/>
    <col min="4" max="4" width="15.375" bestFit="1" customWidth="1"/>
    <col min="5" max="6" width="9.5" bestFit="1" customWidth="1"/>
    <col min="7" max="7" width="9.875" bestFit="1" customWidth="1"/>
  </cols>
  <sheetData>
    <row r="1" spans="1:7" x14ac:dyDescent="0.2">
      <c r="A1" s="5" t="s">
        <v>153</v>
      </c>
      <c r="B1" s="5"/>
      <c r="C1" s="5"/>
      <c r="D1" s="5"/>
      <c r="E1" s="5"/>
      <c r="F1" s="5"/>
      <c r="G1" s="1">
        <v>43756</v>
      </c>
    </row>
    <row r="2" spans="1:7" x14ac:dyDescent="0.2">
      <c r="A2" s="5" t="s">
        <v>154</v>
      </c>
      <c r="B2" s="5"/>
      <c r="C2" s="5"/>
      <c r="D2" s="5"/>
      <c r="E2" s="5"/>
      <c r="F2" s="5"/>
    </row>
    <row r="3" spans="1:7" x14ac:dyDescent="0.2">
      <c r="A3" s="5" t="s">
        <v>181</v>
      </c>
      <c r="B3" s="5"/>
      <c r="C3" s="5"/>
      <c r="D3" s="5"/>
      <c r="E3" s="5"/>
      <c r="F3" s="5"/>
    </row>
    <row r="4" spans="1:7" ht="45" x14ac:dyDescent="0.25">
      <c r="A4" s="3" t="s">
        <v>0</v>
      </c>
      <c r="B4" t="s">
        <v>1</v>
      </c>
      <c r="C4" t="s">
        <v>2</v>
      </c>
      <c r="D4" t="s">
        <v>155</v>
      </c>
      <c r="E4" s="2" t="s">
        <v>156</v>
      </c>
      <c r="F4" s="2" t="s">
        <v>157</v>
      </c>
      <c r="G4" s="2" t="s">
        <v>158</v>
      </c>
    </row>
    <row r="5" spans="1:7" x14ac:dyDescent="0.2">
      <c r="A5" t="str">
        <f>"0054673659"</f>
        <v>0054673659</v>
      </c>
      <c r="B5" t="s">
        <v>14</v>
      </c>
      <c r="C5" t="str">
        <f>"19/09/01"</f>
        <v>19/09/01</v>
      </c>
      <c r="D5" t="str">
        <f>"WESTCHESTER"</f>
        <v>WESTCHESTER</v>
      </c>
      <c r="E5" s="4">
        <v>23.02</v>
      </c>
      <c r="F5" s="4">
        <v>0</v>
      </c>
      <c r="G5" s="4">
        <v>0</v>
      </c>
    </row>
    <row r="6" spans="1:7" x14ac:dyDescent="0.2">
      <c r="A6" t="str">
        <f>"0296748039"</f>
        <v>0296748039</v>
      </c>
      <c r="B6" t="s">
        <v>168</v>
      </c>
      <c r="C6" t="str">
        <f t="shared" ref="C6:C69" si="0">"19/09/01"</f>
        <v>19/09/01</v>
      </c>
      <c r="D6" t="str">
        <f>"PUTNAM"</f>
        <v>PUTNAM</v>
      </c>
      <c r="E6" s="4">
        <v>18.84</v>
      </c>
      <c r="F6" s="4">
        <v>20.61</v>
      </c>
      <c r="G6" s="4">
        <v>241.61</v>
      </c>
    </row>
    <row r="7" spans="1:7" x14ac:dyDescent="0.2">
      <c r="A7" t="str">
        <f>"0296748059"</f>
        <v>0296748059</v>
      </c>
      <c r="B7" t="s">
        <v>169</v>
      </c>
      <c r="C7" t="str">
        <f t="shared" si="0"/>
        <v>19/09/01</v>
      </c>
      <c r="D7" t="str">
        <f>"WESTCHESTER"</f>
        <v>WESTCHESTER</v>
      </c>
      <c r="E7" s="4">
        <v>20.96</v>
      </c>
      <c r="F7" s="4">
        <v>17.45</v>
      </c>
      <c r="G7" s="4">
        <v>271.45999999999998</v>
      </c>
    </row>
    <row r="8" spans="1:7" x14ac:dyDescent="0.2">
      <c r="A8" t="str">
        <f>"0128098213"</f>
        <v>0128098213</v>
      </c>
      <c r="B8" t="s">
        <v>62</v>
      </c>
      <c r="C8" t="str">
        <f t="shared" si="0"/>
        <v>19/09/01</v>
      </c>
      <c r="D8" t="str">
        <f>"DUTCHESS"</f>
        <v>DUTCHESS</v>
      </c>
      <c r="E8" s="4">
        <v>24.4</v>
      </c>
      <c r="F8" s="4">
        <v>26</v>
      </c>
      <c r="G8" s="4">
        <v>262.93</v>
      </c>
    </row>
    <row r="9" spans="1:7" x14ac:dyDescent="0.2">
      <c r="A9" t="str">
        <f>"0128098235"</f>
        <v>0128098235</v>
      </c>
      <c r="B9" t="s">
        <v>62</v>
      </c>
      <c r="C9" t="str">
        <f t="shared" si="0"/>
        <v>19/09/01</v>
      </c>
      <c r="D9" t="str">
        <f>"ORANGE"</f>
        <v>ORANGE</v>
      </c>
      <c r="E9" s="4">
        <v>22.99</v>
      </c>
      <c r="F9" s="4">
        <v>25.02</v>
      </c>
      <c r="G9" s="4">
        <v>280.81</v>
      </c>
    </row>
    <row r="10" spans="1:7" x14ac:dyDescent="0.2">
      <c r="A10" t="str">
        <f>"0128098239"</f>
        <v>0128098239</v>
      </c>
      <c r="B10" t="s">
        <v>62</v>
      </c>
      <c r="C10" t="str">
        <f t="shared" si="0"/>
        <v>19/09/01</v>
      </c>
      <c r="D10" t="str">
        <f>"PUTNAM"</f>
        <v>PUTNAM</v>
      </c>
      <c r="E10" s="4">
        <v>22.41</v>
      </c>
      <c r="F10" s="4">
        <v>23.99</v>
      </c>
      <c r="G10" s="4">
        <v>267.07</v>
      </c>
    </row>
    <row r="11" spans="1:7" x14ac:dyDescent="0.2">
      <c r="A11" t="str">
        <f>"0128098243"</f>
        <v>0128098243</v>
      </c>
      <c r="B11" t="s">
        <v>62</v>
      </c>
      <c r="C11" t="str">
        <f t="shared" si="0"/>
        <v>19/09/01</v>
      </c>
      <c r="D11" t="str">
        <f>"ROCKLAND"</f>
        <v>ROCKLAND</v>
      </c>
      <c r="E11" s="4">
        <v>23.16</v>
      </c>
      <c r="F11" s="4">
        <v>31.09</v>
      </c>
      <c r="G11" s="4">
        <v>275.64999999999998</v>
      </c>
    </row>
    <row r="12" spans="1:7" x14ac:dyDescent="0.2">
      <c r="A12" t="str">
        <f>"0128098255"</f>
        <v>0128098255</v>
      </c>
      <c r="B12" t="s">
        <v>62</v>
      </c>
      <c r="C12" t="str">
        <f t="shared" si="0"/>
        <v>19/09/01</v>
      </c>
      <c r="D12" t="str">
        <f>"ULSTER"</f>
        <v>ULSTER</v>
      </c>
      <c r="E12" s="4">
        <v>25.82</v>
      </c>
      <c r="F12" s="4">
        <v>27.4</v>
      </c>
      <c r="G12" s="4">
        <v>254.16</v>
      </c>
    </row>
    <row r="13" spans="1:7" x14ac:dyDescent="0.2">
      <c r="A13" t="str">
        <f>"0035467829"</f>
        <v>0035467829</v>
      </c>
      <c r="B13" t="s">
        <v>4</v>
      </c>
      <c r="C13" t="str">
        <f t="shared" si="0"/>
        <v>19/09/01</v>
      </c>
      <c r="D13" t="str">
        <f>"NASSAU"</f>
        <v>NASSAU</v>
      </c>
      <c r="E13" s="4">
        <v>27.17</v>
      </c>
      <c r="F13" s="4">
        <v>27.73</v>
      </c>
      <c r="G13" s="4">
        <v>281.10000000000002</v>
      </c>
    </row>
    <row r="14" spans="1:7" x14ac:dyDescent="0.2">
      <c r="A14" t="str">
        <f>"0035467851"</f>
        <v>0035467851</v>
      </c>
      <c r="B14" t="s">
        <v>4</v>
      </c>
      <c r="C14" t="str">
        <f t="shared" si="0"/>
        <v>19/09/01</v>
      </c>
      <c r="D14" t="str">
        <f>"SUFFOLK"</f>
        <v>SUFFOLK</v>
      </c>
      <c r="E14" s="4">
        <v>24.72</v>
      </c>
      <c r="F14" s="4">
        <v>26.23</v>
      </c>
      <c r="G14" s="4">
        <v>252.31</v>
      </c>
    </row>
    <row r="15" spans="1:7" x14ac:dyDescent="0.2">
      <c r="A15" t="str">
        <f>"0035467859"</f>
        <v>0035467859</v>
      </c>
      <c r="B15" t="s">
        <v>4</v>
      </c>
      <c r="C15" t="str">
        <f t="shared" si="0"/>
        <v>19/09/01</v>
      </c>
      <c r="D15" t="str">
        <f>"WESTCHESTER"</f>
        <v>WESTCHESTER</v>
      </c>
      <c r="E15" s="4">
        <v>28.63</v>
      </c>
      <c r="F15" s="4">
        <v>27.87</v>
      </c>
      <c r="G15" s="4">
        <v>295.58</v>
      </c>
    </row>
    <row r="16" spans="1:7" x14ac:dyDescent="0.2">
      <c r="A16" t="str">
        <f>"0134883801"</f>
        <v>0134883801</v>
      </c>
      <c r="B16" t="s">
        <v>65</v>
      </c>
      <c r="C16" t="str">
        <f t="shared" si="0"/>
        <v>19/09/01</v>
      </c>
      <c r="D16" t="str">
        <f>"ALBANY"</f>
        <v>ALBANY</v>
      </c>
      <c r="E16" s="4">
        <v>0</v>
      </c>
      <c r="F16" s="4">
        <v>0</v>
      </c>
      <c r="G16" s="4">
        <v>0</v>
      </c>
    </row>
    <row r="17" spans="1:7" x14ac:dyDescent="0.2">
      <c r="A17" t="str">
        <f>"0134883841"</f>
        <v>0134883841</v>
      </c>
      <c r="B17" t="s">
        <v>66</v>
      </c>
      <c r="C17" t="str">
        <f t="shared" si="0"/>
        <v>19/09/01</v>
      </c>
      <c r="D17" t="str">
        <f>"RENSSELAER"</f>
        <v>RENSSELAER</v>
      </c>
      <c r="E17" s="4">
        <v>0</v>
      </c>
      <c r="F17" s="4">
        <v>0</v>
      </c>
      <c r="G17" s="4">
        <v>0</v>
      </c>
    </row>
    <row r="18" spans="1:7" x14ac:dyDescent="0.2">
      <c r="A18" t="str">
        <f>"0134883845"</f>
        <v>0134883845</v>
      </c>
      <c r="B18" t="s">
        <v>66</v>
      </c>
      <c r="C18" t="str">
        <f t="shared" si="0"/>
        <v>19/09/01</v>
      </c>
      <c r="D18" t="str">
        <f>"SARATOGA"</f>
        <v>SARATOGA</v>
      </c>
      <c r="E18" s="4">
        <v>0</v>
      </c>
      <c r="F18" s="4">
        <v>0</v>
      </c>
      <c r="G18" s="4">
        <v>0</v>
      </c>
    </row>
    <row r="19" spans="1:7" x14ac:dyDescent="0.2">
      <c r="A19" t="str">
        <f>"0134883846"</f>
        <v>0134883846</v>
      </c>
      <c r="B19" t="s">
        <v>66</v>
      </c>
      <c r="C19" t="str">
        <f t="shared" si="0"/>
        <v>19/09/01</v>
      </c>
      <c r="D19" t="str">
        <f>"SCHENECTADY"</f>
        <v>SCHENECTADY</v>
      </c>
      <c r="E19" s="4">
        <v>0</v>
      </c>
      <c r="F19" s="4">
        <v>0</v>
      </c>
      <c r="G19" s="4">
        <v>0</v>
      </c>
    </row>
    <row r="20" spans="1:7" x14ac:dyDescent="0.2">
      <c r="A20" t="str">
        <f>"0099157513"</f>
        <v>0099157513</v>
      </c>
      <c r="B20" t="s">
        <v>44</v>
      </c>
      <c r="C20" t="str">
        <f t="shared" si="0"/>
        <v>19/09/01</v>
      </c>
      <c r="D20" t="str">
        <f>"DUTCHESS"</f>
        <v>DUTCHESS</v>
      </c>
      <c r="E20" s="4">
        <v>23.48</v>
      </c>
      <c r="F20" s="4">
        <v>30.73</v>
      </c>
      <c r="G20" s="4">
        <v>344.22</v>
      </c>
    </row>
    <row r="21" spans="1:7" x14ac:dyDescent="0.2">
      <c r="A21" t="str">
        <f>"0099157539"</f>
        <v>0099157539</v>
      </c>
      <c r="B21" t="s">
        <v>44</v>
      </c>
      <c r="C21" t="str">
        <f t="shared" si="0"/>
        <v>19/09/01</v>
      </c>
      <c r="D21" t="str">
        <f>"PUTNAM"</f>
        <v>PUTNAM</v>
      </c>
      <c r="E21" s="4">
        <v>21.01</v>
      </c>
      <c r="F21" s="4">
        <v>30.01</v>
      </c>
      <c r="G21" s="4">
        <v>332.71</v>
      </c>
    </row>
    <row r="22" spans="1:7" x14ac:dyDescent="0.2">
      <c r="A22" t="str">
        <f>"0099157559"</f>
        <v>0099157559</v>
      </c>
      <c r="B22" t="s">
        <v>44</v>
      </c>
      <c r="C22" t="str">
        <f t="shared" si="0"/>
        <v>19/09/01</v>
      </c>
      <c r="D22" t="str">
        <f>"WESTCHESTER"</f>
        <v>WESTCHESTER</v>
      </c>
      <c r="E22" s="4">
        <v>23.57</v>
      </c>
      <c r="F22" s="4">
        <v>29.69</v>
      </c>
      <c r="G22" s="4">
        <v>310.44</v>
      </c>
    </row>
    <row r="23" spans="1:7" x14ac:dyDescent="0.2">
      <c r="A23" t="str">
        <f>"0173848535"</f>
        <v>0173848535</v>
      </c>
      <c r="B23" t="s">
        <v>88</v>
      </c>
      <c r="C23" t="str">
        <f t="shared" si="0"/>
        <v>19/09/01</v>
      </c>
      <c r="D23" t="str">
        <f>"ORANGE"</f>
        <v>ORANGE</v>
      </c>
      <c r="E23" s="4">
        <v>18.11</v>
      </c>
      <c r="F23" s="4">
        <v>18.11</v>
      </c>
      <c r="G23" s="4">
        <v>233.67</v>
      </c>
    </row>
    <row r="24" spans="1:7" x14ac:dyDescent="0.2">
      <c r="A24" t="str">
        <f>"0173848552"</f>
        <v>0173848552</v>
      </c>
      <c r="B24" t="s">
        <v>88</v>
      </c>
      <c r="C24" t="str">
        <f t="shared" si="0"/>
        <v>19/09/01</v>
      </c>
      <c r="D24" t="str">
        <f>"SULLIVAN"</f>
        <v>SULLIVAN</v>
      </c>
      <c r="E24" s="4">
        <v>17.559999999999999</v>
      </c>
      <c r="F24" s="4">
        <v>0</v>
      </c>
      <c r="G24" s="4">
        <v>0</v>
      </c>
    </row>
    <row r="25" spans="1:7" x14ac:dyDescent="0.2">
      <c r="A25" t="str">
        <f>"0173848555"</f>
        <v>0173848555</v>
      </c>
      <c r="B25" t="s">
        <v>88</v>
      </c>
      <c r="C25" t="str">
        <f t="shared" si="0"/>
        <v>19/09/01</v>
      </c>
      <c r="D25" t="str">
        <f>"ULSTER"</f>
        <v>ULSTER</v>
      </c>
      <c r="E25" s="4">
        <v>16.7</v>
      </c>
      <c r="F25" s="4">
        <v>0</v>
      </c>
      <c r="G25" s="4">
        <v>0</v>
      </c>
    </row>
    <row r="26" spans="1:7" x14ac:dyDescent="0.2">
      <c r="A26" t="str">
        <f>"0179766202"</f>
        <v>0179766202</v>
      </c>
      <c r="B26" t="s">
        <v>98</v>
      </c>
      <c r="C26" t="str">
        <f t="shared" si="0"/>
        <v>19/09/01</v>
      </c>
      <c r="D26" t="str">
        <f>"ALLEGANY"</f>
        <v>ALLEGANY</v>
      </c>
      <c r="E26" s="4">
        <v>17.22</v>
      </c>
      <c r="F26" s="4">
        <v>0</v>
      </c>
      <c r="G26" s="4">
        <v>0</v>
      </c>
    </row>
    <row r="27" spans="1:7" x14ac:dyDescent="0.2">
      <c r="A27" t="str">
        <f>"0179766207"</f>
        <v>0179766207</v>
      </c>
      <c r="B27" t="s">
        <v>98</v>
      </c>
      <c r="C27" t="str">
        <f t="shared" si="0"/>
        <v>19/09/01</v>
      </c>
      <c r="D27" t="str">
        <f>"CHEMUNG"</f>
        <v>CHEMUNG</v>
      </c>
      <c r="E27" s="4">
        <v>17.149999999999999</v>
      </c>
      <c r="F27" s="4">
        <v>0</v>
      </c>
      <c r="G27" s="4">
        <v>0</v>
      </c>
    </row>
    <row r="28" spans="1:7" x14ac:dyDescent="0.2">
      <c r="A28" t="str">
        <f>"0179766248"</f>
        <v>0179766248</v>
      </c>
      <c r="B28" t="s">
        <v>98</v>
      </c>
      <c r="C28" t="str">
        <f t="shared" si="0"/>
        <v>19/09/01</v>
      </c>
      <c r="D28" t="str">
        <f>"SCHUYLER"</f>
        <v>SCHUYLER</v>
      </c>
      <c r="E28" s="4">
        <v>17.11</v>
      </c>
      <c r="F28" s="4">
        <v>0</v>
      </c>
      <c r="G28" s="4">
        <v>0</v>
      </c>
    </row>
    <row r="29" spans="1:7" x14ac:dyDescent="0.2">
      <c r="A29" t="str">
        <f>"0179766250"</f>
        <v>0179766250</v>
      </c>
      <c r="B29" t="s">
        <v>98</v>
      </c>
      <c r="C29" t="str">
        <f t="shared" si="0"/>
        <v>19/09/01</v>
      </c>
      <c r="D29" t="str">
        <f>"STEUBEN"</f>
        <v>STEUBEN</v>
      </c>
      <c r="E29" s="4">
        <v>17.22</v>
      </c>
      <c r="F29" s="4">
        <v>0</v>
      </c>
      <c r="G29" s="4">
        <v>0</v>
      </c>
    </row>
    <row r="30" spans="1:7" x14ac:dyDescent="0.2">
      <c r="A30" t="str">
        <f>"0179766253"</f>
        <v>0179766253</v>
      </c>
      <c r="B30" t="s">
        <v>98</v>
      </c>
      <c r="C30" t="str">
        <f t="shared" si="0"/>
        <v>19/09/01</v>
      </c>
      <c r="D30" t="str">
        <f>"TIOGA"</f>
        <v>TIOGA</v>
      </c>
      <c r="E30" s="4">
        <v>17.25</v>
      </c>
      <c r="F30" s="4">
        <v>0</v>
      </c>
      <c r="G30" s="4">
        <v>0</v>
      </c>
    </row>
    <row r="31" spans="1:7" x14ac:dyDescent="0.2">
      <c r="A31" t="str">
        <f>"0090862743"</f>
        <v>0090862743</v>
      </c>
      <c r="B31" t="s">
        <v>33</v>
      </c>
      <c r="C31" t="str">
        <f t="shared" si="0"/>
        <v>19/09/01</v>
      </c>
      <c r="D31" t="str">
        <f>"ROCKLAND"</f>
        <v>ROCKLAND</v>
      </c>
      <c r="E31" s="4">
        <v>19</v>
      </c>
      <c r="F31" s="4">
        <v>0</v>
      </c>
      <c r="G31" s="4">
        <v>260.68</v>
      </c>
    </row>
    <row r="32" spans="1:7" x14ac:dyDescent="0.2">
      <c r="A32" t="str">
        <f>"0081103206"</f>
        <v>0081103206</v>
      </c>
      <c r="B32" t="s">
        <v>24</v>
      </c>
      <c r="C32" t="str">
        <f t="shared" si="0"/>
        <v>19/09/01</v>
      </c>
      <c r="D32" t="str">
        <f>"CHAUTAUQUA"</f>
        <v>CHAUTAUQUA</v>
      </c>
      <c r="E32" s="4">
        <v>0</v>
      </c>
      <c r="F32" s="4">
        <v>0</v>
      </c>
      <c r="G32" s="4">
        <v>0</v>
      </c>
    </row>
    <row r="33" spans="1:7" x14ac:dyDescent="0.2">
      <c r="A33" t="str">
        <f>"0112364201"</f>
        <v>0112364201</v>
      </c>
      <c r="B33" t="s">
        <v>55</v>
      </c>
      <c r="C33" t="str">
        <f t="shared" si="0"/>
        <v>19/09/01</v>
      </c>
      <c r="D33" t="str">
        <f>"ALBANY"</f>
        <v>ALBANY</v>
      </c>
      <c r="E33" s="4">
        <v>19.579999999999998</v>
      </c>
      <c r="F33" s="4">
        <v>0</v>
      </c>
      <c r="G33" s="4">
        <v>0</v>
      </c>
    </row>
    <row r="34" spans="1:7" x14ac:dyDescent="0.2">
      <c r="A34" t="str">
        <f>"0112364241"</f>
        <v>0112364241</v>
      </c>
      <c r="B34" t="s">
        <v>55</v>
      </c>
      <c r="C34" t="str">
        <f t="shared" si="0"/>
        <v>19/09/01</v>
      </c>
      <c r="D34" t="str">
        <f>"RENSSELAER"</f>
        <v>RENSSELAER</v>
      </c>
      <c r="E34" s="4">
        <v>19.64</v>
      </c>
      <c r="F34" s="4">
        <v>0</v>
      </c>
      <c r="G34" s="4">
        <v>0</v>
      </c>
    </row>
    <row r="35" spans="1:7" x14ac:dyDescent="0.2">
      <c r="A35" t="str">
        <f>"0354909359"</f>
        <v>0354909359</v>
      </c>
      <c r="B35" t="s">
        <v>137</v>
      </c>
      <c r="C35" t="str">
        <f t="shared" si="0"/>
        <v>19/09/01</v>
      </c>
      <c r="D35" t="str">
        <f>"WESTCHESTER"</f>
        <v>WESTCHESTER</v>
      </c>
      <c r="E35" s="4">
        <v>23.78</v>
      </c>
      <c r="F35" s="4">
        <v>27.24</v>
      </c>
      <c r="G35" s="4">
        <v>310.25</v>
      </c>
    </row>
    <row r="36" spans="1:7" x14ac:dyDescent="0.2">
      <c r="A36" t="str">
        <f>"0106459301"</f>
        <v>0106459301</v>
      </c>
      <c r="B36" t="s">
        <v>50</v>
      </c>
      <c r="C36" t="str">
        <f t="shared" si="0"/>
        <v>19/09/01</v>
      </c>
      <c r="D36" t="str">
        <f>"ALBANY"</f>
        <v>ALBANY</v>
      </c>
      <c r="E36" s="4">
        <v>0</v>
      </c>
      <c r="F36" s="4">
        <v>0</v>
      </c>
      <c r="G36" s="4">
        <v>0</v>
      </c>
    </row>
    <row r="37" spans="1:7" x14ac:dyDescent="0.2">
      <c r="A37" t="str">
        <f>"0106459341"</f>
        <v>0106459341</v>
      </c>
      <c r="B37" t="s">
        <v>50</v>
      </c>
      <c r="C37" t="str">
        <f t="shared" si="0"/>
        <v>19/09/01</v>
      </c>
      <c r="D37" t="str">
        <f>"RENSSELAER"</f>
        <v>RENSSELAER</v>
      </c>
      <c r="E37" s="4">
        <v>0</v>
      </c>
      <c r="F37" s="4">
        <v>0</v>
      </c>
      <c r="G37" s="4">
        <v>0</v>
      </c>
    </row>
    <row r="38" spans="1:7" x14ac:dyDescent="0.2">
      <c r="A38" t="str">
        <f>"0106459345"</f>
        <v>0106459345</v>
      </c>
      <c r="B38" t="s">
        <v>50</v>
      </c>
      <c r="C38" t="str">
        <f t="shared" si="0"/>
        <v>19/09/01</v>
      </c>
      <c r="D38" t="str">
        <f>"SARATOGA"</f>
        <v>SARATOGA</v>
      </c>
      <c r="E38" s="4">
        <v>0</v>
      </c>
      <c r="F38" s="4">
        <v>0</v>
      </c>
      <c r="G38" s="4">
        <v>0</v>
      </c>
    </row>
    <row r="39" spans="1:7" x14ac:dyDescent="0.2">
      <c r="A39" t="str">
        <f>"0118018931"</f>
        <v>0118018931</v>
      </c>
      <c r="B39" t="s">
        <v>59</v>
      </c>
      <c r="C39" t="str">
        <f t="shared" si="0"/>
        <v>19/09/01</v>
      </c>
      <c r="D39" t="str">
        <f>"NIAGARA"</f>
        <v>NIAGARA</v>
      </c>
      <c r="E39" s="4">
        <v>13.14</v>
      </c>
      <c r="F39" s="4">
        <v>22.48</v>
      </c>
      <c r="G39" s="4">
        <v>253.94</v>
      </c>
    </row>
    <row r="40" spans="1:7" x14ac:dyDescent="0.2">
      <c r="A40" t="str">
        <f>"0118018906"</f>
        <v>0118018906</v>
      </c>
      <c r="B40" t="s">
        <v>58</v>
      </c>
      <c r="C40" t="str">
        <f t="shared" si="0"/>
        <v>19/09/01</v>
      </c>
      <c r="D40" t="str">
        <f>"CHAUTAUQUA"</f>
        <v>CHAUTAUQUA</v>
      </c>
      <c r="E40" s="4">
        <v>13.31</v>
      </c>
      <c r="F40" s="4">
        <v>33.1</v>
      </c>
      <c r="G40" s="4">
        <v>266.02999999999997</v>
      </c>
    </row>
    <row r="41" spans="1:7" x14ac:dyDescent="0.2">
      <c r="A41" t="str">
        <f>"0118018914"</f>
        <v>0118018914</v>
      </c>
      <c r="B41" t="s">
        <v>58</v>
      </c>
      <c r="C41" t="str">
        <f t="shared" si="0"/>
        <v>19/09/01</v>
      </c>
      <c r="D41" t="str">
        <f>"ERIE"</f>
        <v>ERIE</v>
      </c>
      <c r="E41" s="4">
        <v>21.21</v>
      </c>
      <c r="F41" s="4">
        <v>29.36</v>
      </c>
      <c r="G41" s="4">
        <v>315.8</v>
      </c>
    </row>
    <row r="42" spans="1:7" x14ac:dyDescent="0.2">
      <c r="A42" t="str">
        <f>"0035466929"</f>
        <v>0035466929</v>
      </c>
      <c r="B42" t="s">
        <v>3</v>
      </c>
      <c r="C42" t="str">
        <f t="shared" si="0"/>
        <v>19/09/01</v>
      </c>
      <c r="D42" t="str">
        <f>"NASSAU"</f>
        <v>NASSAU</v>
      </c>
      <c r="E42" s="4">
        <v>27.73</v>
      </c>
      <c r="F42" s="4">
        <v>28.83</v>
      </c>
      <c r="G42" s="4">
        <v>352.57</v>
      </c>
    </row>
    <row r="43" spans="1:7" x14ac:dyDescent="0.2">
      <c r="A43" t="str">
        <f>"0035466951"</f>
        <v>0035466951</v>
      </c>
      <c r="B43" t="s">
        <v>3</v>
      </c>
      <c r="C43" t="str">
        <f t="shared" si="0"/>
        <v>19/09/01</v>
      </c>
      <c r="D43" t="str">
        <f>"SUFFOLK"</f>
        <v>SUFFOLK</v>
      </c>
      <c r="E43" s="4">
        <v>26.98</v>
      </c>
      <c r="F43" s="4">
        <v>27.68</v>
      </c>
      <c r="G43" s="4">
        <v>340.88</v>
      </c>
    </row>
    <row r="44" spans="1:7" x14ac:dyDescent="0.2">
      <c r="A44" t="str">
        <f>"0456501951"</f>
        <v>0456501951</v>
      </c>
      <c r="B44" t="s">
        <v>152</v>
      </c>
      <c r="C44" t="str">
        <f t="shared" si="0"/>
        <v>19/09/01</v>
      </c>
      <c r="D44" t="str">
        <f>"SUFFOLK"</f>
        <v>SUFFOLK</v>
      </c>
      <c r="E44" s="4">
        <v>0</v>
      </c>
      <c r="F44" s="4">
        <v>0</v>
      </c>
      <c r="G44" s="4">
        <v>0</v>
      </c>
    </row>
    <row r="45" spans="1:7" x14ac:dyDescent="0.2">
      <c r="A45" t="str">
        <f>"0084696001"</f>
        <v>0084696001</v>
      </c>
      <c r="B45" t="s">
        <v>27</v>
      </c>
      <c r="C45" t="str">
        <f t="shared" si="0"/>
        <v>19/09/01</v>
      </c>
      <c r="D45" t="str">
        <f>"ALBANY"</f>
        <v>ALBANY</v>
      </c>
      <c r="E45" s="4">
        <v>19.12</v>
      </c>
      <c r="F45" s="4">
        <v>25.87</v>
      </c>
      <c r="G45" s="4">
        <v>259.48</v>
      </c>
    </row>
    <row r="46" spans="1:7" x14ac:dyDescent="0.2">
      <c r="A46" t="str">
        <f>"0084696014"</f>
        <v>0084696014</v>
      </c>
      <c r="B46" t="s">
        <v>27</v>
      </c>
      <c r="C46" t="str">
        <f t="shared" si="0"/>
        <v>19/09/01</v>
      </c>
      <c r="D46" t="str">
        <f>"ERIE"</f>
        <v>ERIE</v>
      </c>
      <c r="E46" s="4">
        <v>20.78</v>
      </c>
      <c r="F46" s="4">
        <v>25.09</v>
      </c>
      <c r="G46" s="4">
        <v>274.33999999999997</v>
      </c>
    </row>
    <row r="47" spans="1:7" x14ac:dyDescent="0.2">
      <c r="A47" t="str">
        <f>"0084696027"</f>
        <v>0084696027</v>
      </c>
      <c r="B47" t="s">
        <v>27</v>
      </c>
      <c r="C47" t="str">
        <f t="shared" si="0"/>
        <v>19/09/01</v>
      </c>
      <c r="D47" t="str">
        <f>"MONROE"</f>
        <v>MONROE</v>
      </c>
      <c r="E47" s="4">
        <v>17.89</v>
      </c>
      <c r="F47" s="4">
        <v>25.8</v>
      </c>
      <c r="G47" s="4">
        <v>235.87</v>
      </c>
    </row>
    <row r="48" spans="1:7" x14ac:dyDescent="0.2">
      <c r="A48" t="str">
        <f>"0084696029"</f>
        <v>0084696029</v>
      </c>
      <c r="B48" t="s">
        <v>27</v>
      </c>
      <c r="C48" t="str">
        <f t="shared" si="0"/>
        <v>19/09/01</v>
      </c>
      <c r="D48" t="str">
        <f>"NASSAU"</f>
        <v>NASSAU</v>
      </c>
      <c r="E48" s="4">
        <v>21.34</v>
      </c>
      <c r="F48" s="4">
        <v>27.83</v>
      </c>
      <c r="G48" s="4">
        <v>274.98</v>
      </c>
    </row>
    <row r="49" spans="1:7" x14ac:dyDescent="0.2">
      <c r="A49" t="str">
        <f>"0084696031"</f>
        <v>0084696031</v>
      </c>
      <c r="B49" t="s">
        <v>27</v>
      </c>
      <c r="C49" t="str">
        <f t="shared" si="0"/>
        <v>19/09/01</v>
      </c>
      <c r="D49" t="str">
        <f>"NIAGARA"</f>
        <v>NIAGARA</v>
      </c>
      <c r="E49" s="4">
        <v>19.899999999999999</v>
      </c>
      <c r="F49" s="4">
        <v>25.48</v>
      </c>
      <c r="G49" s="4">
        <v>247.77</v>
      </c>
    </row>
    <row r="50" spans="1:7" x14ac:dyDescent="0.2">
      <c r="A50" t="str">
        <f>"0084696033"</f>
        <v>0084696033</v>
      </c>
      <c r="B50" t="s">
        <v>27</v>
      </c>
      <c r="C50" t="str">
        <f t="shared" si="0"/>
        <v>19/09/01</v>
      </c>
      <c r="D50" t="str">
        <f>"ONONDAGA"</f>
        <v>ONONDAGA</v>
      </c>
      <c r="E50" s="4">
        <v>23.52</v>
      </c>
      <c r="F50" s="4">
        <v>25.86</v>
      </c>
      <c r="G50" s="4">
        <v>259.92</v>
      </c>
    </row>
    <row r="51" spans="1:7" x14ac:dyDescent="0.2">
      <c r="A51" t="str">
        <f>"0084696041"</f>
        <v>0084696041</v>
      </c>
      <c r="B51" t="s">
        <v>27</v>
      </c>
      <c r="C51" t="str">
        <f t="shared" si="0"/>
        <v>19/09/01</v>
      </c>
      <c r="D51" t="str">
        <f>"RENSSELAER"</f>
        <v>RENSSELAER</v>
      </c>
      <c r="E51" s="4">
        <v>19.11</v>
      </c>
      <c r="F51" s="4">
        <v>25.9</v>
      </c>
      <c r="G51" s="4">
        <v>259.99</v>
      </c>
    </row>
    <row r="52" spans="1:7" x14ac:dyDescent="0.2">
      <c r="A52" t="str">
        <f>"0084696045"</f>
        <v>0084696045</v>
      </c>
      <c r="B52" t="s">
        <v>27</v>
      </c>
      <c r="C52" t="str">
        <f t="shared" si="0"/>
        <v>19/09/01</v>
      </c>
      <c r="D52" t="str">
        <f>"SARATOGA"</f>
        <v>SARATOGA</v>
      </c>
      <c r="E52" s="4">
        <v>23.39</v>
      </c>
      <c r="F52" s="4">
        <v>25.73</v>
      </c>
      <c r="G52" s="4">
        <v>255.83</v>
      </c>
    </row>
    <row r="53" spans="1:7" x14ac:dyDescent="0.2">
      <c r="A53" t="str">
        <f>"0084696046"</f>
        <v>0084696046</v>
      </c>
      <c r="B53" t="s">
        <v>27</v>
      </c>
      <c r="C53" t="str">
        <f t="shared" si="0"/>
        <v>19/09/01</v>
      </c>
      <c r="D53" t="str">
        <f>"SCHENECTADY"</f>
        <v>SCHENECTADY</v>
      </c>
      <c r="E53" s="4">
        <v>19.48</v>
      </c>
      <c r="F53" s="4">
        <v>25.87</v>
      </c>
      <c r="G53" s="4">
        <v>259.44</v>
      </c>
    </row>
    <row r="54" spans="1:7" x14ac:dyDescent="0.2">
      <c r="A54" t="str">
        <f>"0084696051"</f>
        <v>0084696051</v>
      </c>
      <c r="B54" t="s">
        <v>27</v>
      </c>
      <c r="C54" t="str">
        <f t="shared" si="0"/>
        <v>19/09/01</v>
      </c>
      <c r="D54" t="str">
        <f>"SUFFOLK"</f>
        <v>SUFFOLK</v>
      </c>
      <c r="E54" s="4">
        <v>22.6</v>
      </c>
      <c r="F54" s="4">
        <v>27.82</v>
      </c>
      <c r="G54" s="4">
        <v>288.07</v>
      </c>
    </row>
    <row r="55" spans="1:7" x14ac:dyDescent="0.2">
      <c r="A55" t="str">
        <f>"0084696059"</f>
        <v>0084696059</v>
      </c>
      <c r="B55" t="s">
        <v>27</v>
      </c>
      <c r="C55" t="str">
        <f t="shared" si="0"/>
        <v>19/09/01</v>
      </c>
      <c r="D55" t="str">
        <f>"WESTCHESTER"</f>
        <v>WESTCHESTER</v>
      </c>
      <c r="E55" s="4">
        <v>21.79</v>
      </c>
      <c r="F55" s="4">
        <v>27.84</v>
      </c>
      <c r="G55" s="4">
        <v>281.14999999999998</v>
      </c>
    </row>
    <row r="56" spans="1:7" x14ac:dyDescent="0.2">
      <c r="A56" t="str">
        <f>"0096733114"</f>
        <v>0096733114</v>
      </c>
      <c r="B56" t="s">
        <v>39</v>
      </c>
      <c r="C56" t="str">
        <f t="shared" si="0"/>
        <v>19/09/01</v>
      </c>
      <c r="D56" t="str">
        <f>"ERIE"</f>
        <v>ERIE</v>
      </c>
      <c r="E56" s="4">
        <v>0</v>
      </c>
      <c r="F56" s="4">
        <v>0</v>
      </c>
      <c r="G56" s="4">
        <v>0</v>
      </c>
    </row>
    <row r="57" spans="1:7" x14ac:dyDescent="0.2">
      <c r="A57" t="str">
        <f>"0104012414"</f>
        <v>0104012414</v>
      </c>
      <c r="B57" t="s">
        <v>45</v>
      </c>
      <c r="C57" t="str">
        <f t="shared" si="0"/>
        <v>19/09/01</v>
      </c>
      <c r="D57" t="str">
        <f>"ERIE"</f>
        <v>ERIE</v>
      </c>
      <c r="E57" s="4">
        <v>0</v>
      </c>
      <c r="F57" s="4">
        <v>0</v>
      </c>
      <c r="G57" s="4">
        <v>0</v>
      </c>
    </row>
    <row r="58" spans="1:7" x14ac:dyDescent="0.2">
      <c r="A58" t="str">
        <f>"0099143301"</f>
        <v>0099143301</v>
      </c>
      <c r="B58" t="s">
        <v>42</v>
      </c>
      <c r="C58" t="str">
        <f t="shared" si="0"/>
        <v>19/09/01</v>
      </c>
      <c r="D58" t="str">
        <f>"ALBANY"</f>
        <v>ALBANY</v>
      </c>
      <c r="E58" s="4">
        <v>19.68</v>
      </c>
      <c r="F58" s="4">
        <v>28.22</v>
      </c>
      <c r="G58" s="4">
        <v>342.95</v>
      </c>
    </row>
    <row r="59" spans="1:7" x14ac:dyDescent="0.2">
      <c r="A59" t="str">
        <f>"0099143310"</f>
        <v>0099143310</v>
      </c>
      <c r="B59" t="s">
        <v>42</v>
      </c>
      <c r="C59" t="str">
        <f t="shared" si="0"/>
        <v>19/09/01</v>
      </c>
      <c r="D59" t="str">
        <f>"COLUMBIA"</f>
        <v>COLUMBIA</v>
      </c>
      <c r="E59" s="4">
        <v>19.12</v>
      </c>
      <c r="F59" s="4">
        <v>27.46</v>
      </c>
      <c r="G59" s="4">
        <v>326.48</v>
      </c>
    </row>
    <row r="60" spans="1:7" x14ac:dyDescent="0.2">
      <c r="A60" t="str">
        <f>"0099143313"</f>
        <v>0099143313</v>
      </c>
      <c r="B60" t="s">
        <v>42</v>
      </c>
      <c r="C60" t="str">
        <f t="shared" si="0"/>
        <v>19/09/01</v>
      </c>
      <c r="D60" t="str">
        <f>"DUTCHESS"</f>
        <v>DUTCHESS</v>
      </c>
      <c r="E60" s="4">
        <v>19.91</v>
      </c>
      <c r="F60" s="4">
        <v>28.25</v>
      </c>
      <c r="G60" s="4">
        <v>322.49</v>
      </c>
    </row>
    <row r="61" spans="1:7" x14ac:dyDescent="0.2">
      <c r="A61" t="str">
        <f>"0099143319"</f>
        <v>0099143319</v>
      </c>
      <c r="B61" t="s">
        <v>42</v>
      </c>
      <c r="C61" t="str">
        <f t="shared" si="0"/>
        <v>19/09/01</v>
      </c>
      <c r="D61" t="str">
        <f>"GREENE"</f>
        <v>GREENE</v>
      </c>
      <c r="E61" s="4">
        <v>27.79</v>
      </c>
      <c r="F61" s="4">
        <v>27.19</v>
      </c>
      <c r="G61" s="4">
        <v>323.63</v>
      </c>
    </row>
    <row r="62" spans="1:7" x14ac:dyDescent="0.2">
      <c r="A62" t="str">
        <f>"0099143335"</f>
        <v>0099143335</v>
      </c>
      <c r="B62" t="s">
        <v>42</v>
      </c>
      <c r="C62" t="str">
        <f t="shared" si="0"/>
        <v>19/09/01</v>
      </c>
      <c r="D62" t="str">
        <f>"ORANGE"</f>
        <v>ORANGE</v>
      </c>
      <c r="E62" s="4">
        <v>19.87</v>
      </c>
      <c r="F62" s="4">
        <v>28</v>
      </c>
      <c r="G62" s="4">
        <v>322.58</v>
      </c>
    </row>
    <row r="63" spans="1:7" x14ac:dyDescent="0.2">
      <c r="A63" t="str">
        <f>"0099143339"</f>
        <v>0099143339</v>
      </c>
      <c r="B63" t="s">
        <v>42</v>
      </c>
      <c r="C63" t="str">
        <f t="shared" si="0"/>
        <v>19/09/01</v>
      </c>
      <c r="D63" t="str">
        <f>"PUTNAM"</f>
        <v>PUTNAM</v>
      </c>
      <c r="E63" s="4">
        <v>19.64</v>
      </c>
      <c r="F63" s="4">
        <v>27.4</v>
      </c>
      <c r="G63" s="4">
        <v>326.02</v>
      </c>
    </row>
    <row r="64" spans="1:7" x14ac:dyDescent="0.2">
      <c r="A64" t="str">
        <f>"0099143341"</f>
        <v>0099143341</v>
      </c>
      <c r="B64" t="s">
        <v>42</v>
      </c>
      <c r="C64" t="str">
        <f t="shared" si="0"/>
        <v>19/09/01</v>
      </c>
      <c r="D64" t="str">
        <f>"RENSSELAER"</f>
        <v>RENSSELAER</v>
      </c>
      <c r="E64" s="4">
        <v>19.8</v>
      </c>
      <c r="F64" s="4">
        <v>27.02</v>
      </c>
      <c r="G64" s="4">
        <v>322.43</v>
      </c>
    </row>
    <row r="65" spans="1:7" x14ac:dyDescent="0.2">
      <c r="A65" t="str">
        <f>"0099143343"</f>
        <v>0099143343</v>
      </c>
      <c r="B65" t="s">
        <v>42</v>
      </c>
      <c r="C65" t="str">
        <f t="shared" si="0"/>
        <v>19/09/01</v>
      </c>
      <c r="D65" t="str">
        <f>"ROCKLAND"</f>
        <v>ROCKLAND</v>
      </c>
      <c r="E65" s="4">
        <v>29.32</v>
      </c>
      <c r="F65" s="4">
        <v>30.74</v>
      </c>
      <c r="G65" s="4">
        <v>380.09</v>
      </c>
    </row>
    <row r="66" spans="1:7" x14ac:dyDescent="0.2">
      <c r="A66" t="str">
        <f>"0099143345"</f>
        <v>0099143345</v>
      </c>
      <c r="B66" t="s">
        <v>42</v>
      </c>
      <c r="C66" t="str">
        <f t="shared" si="0"/>
        <v>19/09/01</v>
      </c>
      <c r="D66" t="str">
        <f>"SARATOGA"</f>
        <v>SARATOGA</v>
      </c>
      <c r="E66" s="4">
        <v>19.77</v>
      </c>
      <c r="F66" s="4">
        <v>27.05</v>
      </c>
      <c r="G66" s="4">
        <v>304.85000000000002</v>
      </c>
    </row>
    <row r="67" spans="1:7" x14ac:dyDescent="0.2">
      <c r="A67" t="str">
        <f>"0099143346"</f>
        <v>0099143346</v>
      </c>
      <c r="B67" t="s">
        <v>42</v>
      </c>
      <c r="C67" t="str">
        <f t="shared" si="0"/>
        <v>19/09/01</v>
      </c>
      <c r="D67" t="str">
        <f>"SCHENECTADY"</f>
        <v>SCHENECTADY</v>
      </c>
      <c r="E67" s="4">
        <v>19.72</v>
      </c>
      <c r="F67" s="4">
        <v>27.96</v>
      </c>
      <c r="G67" s="4">
        <v>331.85</v>
      </c>
    </row>
    <row r="68" spans="1:7" x14ac:dyDescent="0.2">
      <c r="A68" t="str">
        <f>"0099143352"</f>
        <v>0099143352</v>
      </c>
      <c r="B68" t="s">
        <v>42</v>
      </c>
      <c r="C68" t="str">
        <f t="shared" si="0"/>
        <v>19/09/01</v>
      </c>
      <c r="D68" t="str">
        <f>"SULLIVAN"</f>
        <v>SULLIVAN</v>
      </c>
      <c r="E68" s="4">
        <v>19.82</v>
      </c>
      <c r="F68" s="4">
        <v>27.46</v>
      </c>
      <c r="G68" s="4">
        <v>354.63</v>
      </c>
    </row>
    <row r="69" spans="1:7" x14ac:dyDescent="0.2">
      <c r="A69" t="str">
        <f>"0099143355"</f>
        <v>0099143355</v>
      </c>
      <c r="B69" t="s">
        <v>42</v>
      </c>
      <c r="C69" t="str">
        <f t="shared" si="0"/>
        <v>19/09/01</v>
      </c>
      <c r="D69" t="str">
        <f>"ULSTER"</f>
        <v>ULSTER</v>
      </c>
      <c r="E69" s="4">
        <v>19.91</v>
      </c>
      <c r="F69" s="4">
        <v>27.04</v>
      </c>
      <c r="G69" s="4">
        <v>254.74</v>
      </c>
    </row>
    <row r="70" spans="1:7" x14ac:dyDescent="0.2">
      <c r="A70" t="str">
        <f>"0099143359"</f>
        <v>0099143359</v>
      </c>
      <c r="B70" t="s">
        <v>42</v>
      </c>
      <c r="C70" t="str">
        <f t="shared" ref="C70:C133" si="1">"19/09/01"</f>
        <v>19/09/01</v>
      </c>
      <c r="D70" t="str">
        <f>"WESTCHESTER"</f>
        <v>WESTCHESTER</v>
      </c>
      <c r="E70" s="4">
        <v>22.47</v>
      </c>
      <c r="F70" s="4">
        <v>24</v>
      </c>
      <c r="G70" s="4">
        <v>248.83</v>
      </c>
    </row>
    <row r="71" spans="1:7" x14ac:dyDescent="0.2">
      <c r="A71" t="str">
        <f>"0173391733"</f>
        <v>0173391733</v>
      </c>
      <c r="B71" t="s">
        <v>87</v>
      </c>
      <c r="C71" t="str">
        <f t="shared" si="1"/>
        <v>19/09/01</v>
      </c>
      <c r="D71" t="str">
        <f>"ONONDAGA"</f>
        <v>ONONDAGA</v>
      </c>
      <c r="E71" s="4">
        <v>18.32</v>
      </c>
      <c r="F71" s="4">
        <v>0</v>
      </c>
      <c r="G71" s="4">
        <v>0</v>
      </c>
    </row>
    <row r="72" spans="1:7" x14ac:dyDescent="0.2">
      <c r="A72" t="str">
        <f>"0173391737"</f>
        <v>0173391737</v>
      </c>
      <c r="B72" t="s">
        <v>87</v>
      </c>
      <c r="C72" t="str">
        <f t="shared" si="1"/>
        <v>19/09/01</v>
      </c>
      <c r="D72" t="str">
        <f>"OSWEGO"</f>
        <v>OSWEGO</v>
      </c>
      <c r="E72" s="4">
        <v>19.04</v>
      </c>
      <c r="F72" s="4">
        <v>0</v>
      </c>
      <c r="G72" s="4">
        <v>0</v>
      </c>
    </row>
    <row r="73" spans="1:7" x14ac:dyDescent="0.2">
      <c r="A73" t="str">
        <f>"0281324308"</f>
        <v>0281324308</v>
      </c>
      <c r="B73" t="s">
        <v>123</v>
      </c>
      <c r="C73" t="str">
        <f t="shared" si="1"/>
        <v>19/09/01</v>
      </c>
      <c r="D73" t="str">
        <f>"CHENANGO"</f>
        <v>CHENANGO</v>
      </c>
      <c r="E73" s="4">
        <v>0</v>
      </c>
      <c r="F73" s="4">
        <v>0</v>
      </c>
      <c r="G73" s="4">
        <v>0</v>
      </c>
    </row>
    <row r="74" spans="1:7" x14ac:dyDescent="0.2">
      <c r="A74" t="str">
        <f>"0281324312"</f>
        <v>0281324312</v>
      </c>
      <c r="B74" t="s">
        <v>124</v>
      </c>
      <c r="C74" t="str">
        <f t="shared" si="1"/>
        <v>19/09/01</v>
      </c>
      <c r="D74" t="str">
        <f>"DELAWARE"</f>
        <v>DELAWARE</v>
      </c>
      <c r="E74" s="4">
        <v>0</v>
      </c>
      <c r="F74" s="4">
        <v>0</v>
      </c>
      <c r="G74" s="4">
        <v>0</v>
      </c>
    </row>
    <row r="75" spans="1:7" x14ac:dyDescent="0.2">
      <c r="A75" t="str">
        <f>"0281324321"</f>
        <v>0281324321</v>
      </c>
      <c r="B75" t="s">
        <v>124</v>
      </c>
      <c r="C75" t="str">
        <f t="shared" si="1"/>
        <v>19/09/01</v>
      </c>
      <c r="D75" t="str">
        <f>"HERKIMER"</f>
        <v>HERKIMER</v>
      </c>
      <c r="E75" s="4">
        <v>0</v>
      </c>
      <c r="F75" s="4">
        <v>0</v>
      </c>
      <c r="G75" s="4">
        <v>0</v>
      </c>
    </row>
    <row r="76" spans="1:7" x14ac:dyDescent="0.2">
      <c r="A76" t="str">
        <f>"0281324338"</f>
        <v>0281324338</v>
      </c>
      <c r="B76" t="s">
        <v>124</v>
      </c>
      <c r="C76" t="str">
        <f t="shared" si="1"/>
        <v>19/09/01</v>
      </c>
      <c r="D76" t="str">
        <f>"OTSEGO"</f>
        <v>OTSEGO</v>
      </c>
      <c r="E76" s="4">
        <v>0</v>
      </c>
      <c r="F76" s="4">
        <v>0</v>
      </c>
      <c r="G76" s="4">
        <v>0</v>
      </c>
    </row>
    <row r="77" spans="1:7" x14ac:dyDescent="0.2">
      <c r="A77" t="str">
        <f>"0281324347"</f>
        <v>0281324347</v>
      </c>
      <c r="B77" t="s">
        <v>124</v>
      </c>
      <c r="C77" t="str">
        <f t="shared" si="1"/>
        <v>19/09/01</v>
      </c>
      <c r="D77" t="str">
        <f>"SCHOHARIE"</f>
        <v>SCHOHARIE</v>
      </c>
      <c r="E77" s="4">
        <v>0</v>
      </c>
      <c r="F77" s="4">
        <v>0</v>
      </c>
      <c r="G77" s="4">
        <v>0</v>
      </c>
    </row>
    <row r="78" spans="1:7" x14ac:dyDescent="0.2">
      <c r="A78" t="str">
        <f>"0327725444"</f>
        <v>0327725444</v>
      </c>
      <c r="B78" t="s">
        <v>132</v>
      </c>
      <c r="C78" t="str">
        <f t="shared" si="1"/>
        <v>19/09/01</v>
      </c>
      <c r="D78" t="str">
        <f>"ST LAWRENCE"</f>
        <v>ST LAWRENCE</v>
      </c>
      <c r="E78" s="4">
        <v>0</v>
      </c>
      <c r="F78" s="4">
        <v>0</v>
      </c>
      <c r="G78" s="4">
        <v>0</v>
      </c>
    </row>
    <row r="79" spans="1:7" x14ac:dyDescent="0.2">
      <c r="A79" t="str">
        <f>"0327725432"</f>
        <v>0327725432</v>
      </c>
      <c r="B79" t="s">
        <v>131</v>
      </c>
      <c r="C79" t="str">
        <f t="shared" si="1"/>
        <v>19/09/01</v>
      </c>
      <c r="D79" t="str">
        <f>"ONEIDA"</f>
        <v>ONEIDA</v>
      </c>
      <c r="E79" s="4">
        <v>0</v>
      </c>
      <c r="F79" s="4">
        <v>0</v>
      </c>
      <c r="G79" s="4">
        <v>0</v>
      </c>
    </row>
    <row r="80" spans="1:7" x14ac:dyDescent="0.2">
      <c r="A80" t="str">
        <f>"0298477443"</f>
        <v>0298477443</v>
      </c>
      <c r="B80" t="s">
        <v>128</v>
      </c>
      <c r="C80" t="str">
        <f t="shared" si="1"/>
        <v>19/09/01</v>
      </c>
      <c r="D80" t="str">
        <f>"ROCKLAND"</f>
        <v>ROCKLAND</v>
      </c>
      <c r="E80" s="4">
        <v>23.41</v>
      </c>
      <c r="F80" s="4">
        <v>23.98</v>
      </c>
      <c r="G80" s="4">
        <v>278.88</v>
      </c>
    </row>
    <row r="81" spans="1:7" x14ac:dyDescent="0.2">
      <c r="A81" t="str">
        <f>"0090869001"</f>
        <v>0090869001</v>
      </c>
      <c r="B81" t="s">
        <v>28</v>
      </c>
      <c r="C81" t="str">
        <f t="shared" si="1"/>
        <v>19/09/01</v>
      </c>
      <c r="D81" t="str">
        <f>"ALBANY"</f>
        <v>ALBANY</v>
      </c>
      <c r="E81" s="4">
        <v>19.93</v>
      </c>
      <c r="F81" s="4">
        <v>24.51</v>
      </c>
      <c r="G81" s="4">
        <v>0</v>
      </c>
    </row>
    <row r="82" spans="1:7" x14ac:dyDescent="0.2">
      <c r="A82" t="str">
        <f>"0085078429"</f>
        <v>0085078429</v>
      </c>
      <c r="B82" t="s">
        <v>28</v>
      </c>
      <c r="C82" t="str">
        <f t="shared" si="1"/>
        <v>19/09/01</v>
      </c>
      <c r="D82" t="str">
        <f>"NASSAU"</f>
        <v>NASSAU</v>
      </c>
      <c r="E82" s="4">
        <v>4.59</v>
      </c>
      <c r="F82" s="4">
        <v>26.53</v>
      </c>
      <c r="G82" s="4">
        <v>312.74</v>
      </c>
    </row>
    <row r="83" spans="1:7" x14ac:dyDescent="0.2">
      <c r="A83" t="str">
        <f>"0090869041"</f>
        <v>0090869041</v>
      </c>
      <c r="B83" t="s">
        <v>28</v>
      </c>
      <c r="C83" t="str">
        <f t="shared" si="1"/>
        <v>19/09/01</v>
      </c>
      <c r="D83" t="str">
        <f>"RENSSELAER"</f>
        <v>RENSSELAER</v>
      </c>
      <c r="E83" s="4">
        <v>19.989999999999998</v>
      </c>
      <c r="F83" s="4">
        <v>24.62</v>
      </c>
      <c r="G83" s="4">
        <v>0</v>
      </c>
    </row>
    <row r="84" spans="1:7" x14ac:dyDescent="0.2">
      <c r="A84" t="str">
        <f>"0090869045"</f>
        <v>0090869045</v>
      </c>
      <c r="B84" t="s">
        <v>28</v>
      </c>
      <c r="C84" t="str">
        <f t="shared" si="1"/>
        <v>19/09/01</v>
      </c>
      <c r="D84" t="str">
        <f>"SARATOGA"</f>
        <v>SARATOGA</v>
      </c>
      <c r="E84" s="4">
        <v>18.53</v>
      </c>
      <c r="F84" s="4">
        <v>24.48</v>
      </c>
      <c r="G84" s="4">
        <v>0</v>
      </c>
    </row>
    <row r="85" spans="1:7" x14ac:dyDescent="0.2">
      <c r="A85" t="str">
        <f>"0090869046"</f>
        <v>0090869046</v>
      </c>
      <c r="B85" t="s">
        <v>28</v>
      </c>
      <c r="C85" t="str">
        <f t="shared" si="1"/>
        <v>19/09/01</v>
      </c>
      <c r="D85" t="str">
        <f>"SCHENECTADY"</f>
        <v>SCHENECTADY</v>
      </c>
      <c r="E85" s="4">
        <v>20.079999999999998</v>
      </c>
      <c r="F85" s="4">
        <v>24.88</v>
      </c>
      <c r="G85" s="4">
        <v>0</v>
      </c>
    </row>
    <row r="86" spans="1:7" x14ac:dyDescent="0.2">
      <c r="A86" t="str">
        <f>"0085078451"</f>
        <v>0085078451</v>
      </c>
      <c r="B86" t="s">
        <v>28</v>
      </c>
      <c r="C86" t="str">
        <f t="shared" si="1"/>
        <v>19/09/01</v>
      </c>
      <c r="D86" t="str">
        <f>"SUFFOLK"</f>
        <v>SUFFOLK</v>
      </c>
      <c r="E86" s="4">
        <v>23.73</v>
      </c>
      <c r="F86" s="4">
        <v>26.54</v>
      </c>
      <c r="G86" s="4">
        <v>331.47</v>
      </c>
    </row>
    <row r="87" spans="1:7" x14ac:dyDescent="0.2">
      <c r="A87" t="str">
        <f>"0331460159"</f>
        <v>0331460159</v>
      </c>
      <c r="B87" t="s">
        <v>133</v>
      </c>
      <c r="C87" t="str">
        <f t="shared" si="1"/>
        <v>19/09/01</v>
      </c>
      <c r="D87" t="str">
        <f>"WESTCHESTER"</f>
        <v>WESTCHESTER</v>
      </c>
      <c r="E87" s="4">
        <v>30.05</v>
      </c>
      <c r="F87" s="4">
        <v>32.75</v>
      </c>
      <c r="G87" s="4">
        <v>376.04</v>
      </c>
    </row>
    <row r="88" spans="1:7" x14ac:dyDescent="0.2">
      <c r="A88" t="str">
        <f>"0205618251"</f>
        <v>0205618251</v>
      </c>
      <c r="B88" t="s">
        <v>105</v>
      </c>
      <c r="C88" t="str">
        <f t="shared" si="1"/>
        <v>19/09/01</v>
      </c>
      <c r="D88" t="str">
        <f>"SUFFOLK"</f>
        <v>SUFFOLK</v>
      </c>
      <c r="E88" s="4">
        <v>0</v>
      </c>
      <c r="F88" s="4">
        <v>0</v>
      </c>
      <c r="G88" s="4">
        <v>0</v>
      </c>
    </row>
    <row r="89" spans="1:7" x14ac:dyDescent="0.2">
      <c r="A89" t="str">
        <f>"0078841829"</f>
        <v>0078841829</v>
      </c>
      <c r="B89" t="s">
        <v>22</v>
      </c>
      <c r="C89" t="str">
        <f t="shared" si="1"/>
        <v>19/09/01</v>
      </c>
      <c r="D89" t="str">
        <f>"NASSAU"</f>
        <v>NASSAU</v>
      </c>
      <c r="E89" s="4">
        <v>20.28</v>
      </c>
      <c r="F89" s="4">
        <v>27.19</v>
      </c>
      <c r="G89" s="4">
        <v>254.76</v>
      </c>
    </row>
    <row r="90" spans="1:7" x14ac:dyDescent="0.2">
      <c r="A90" t="str">
        <f>"0078841851"</f>
        <v>0078841851</v>
      </c>
      <c r="B90" t="s">
        <v>22</v>
      </c>
      <c r="C90" t="str">
        <f t="shared" si="1"/>
        <v>19/09/01</v>
      </c>
      <c r="D90" t="str">
        <f>"SUFFOLK"</f>
        <v>SUFFOLK</v>
      </c>
      <c r="E90" s="4">
        <v>19.850000000000001</v>
      </c>
      <c r="F90" s="4">
        <v>26.3</v>
      </c>
      <c r="G90" s="4">
        <v>345.25</v>
      </c>
    </row>
    <row r="91" spans="1:7" x14ac:dyDescent="0.2">
      <c r="A91" t="str">
        <f>"0078841859"</f>
        <v>0078841859</v>
      </c>
      <c r="B91" t="s">
        <v>22</v>
      </c>
      <c r="C91" t="str">
        <f t="shared" si="1"/>
        <v>19/09/01</v>
      </c>
      <c r="D91" t="str">
        <f>"WESTCHESTER"</f>
        <v>WESTCHESTER</v>
      </c>
      <c r="E91" s="4">
        <v>21.35</v>
      </c>
      <c r="F91" s="4">
        <v>27.74</v>
      </c>
      <c r="G91" s="4">
        <v>357.19</v>
      </c>
    </row>
    <row r="92" spans="1:7" x14ac:dyDescent="0.2">
      <c r="A92" t="str">
        <f>"0194568807"</f>
        <v>0194568807</v>
      </c>
      <c r="B92" t="s">
        <v>102</v>
      </c>
      <c r="C92" t="str">
        <f t="shared" si="1"/>
        <v>19/09/01</v>
      </c>
      <c r="D92" t="str">
        <f>"CHEMUNG"</f>
        <v>CHEMUNG</v>
      </c>
      <c r="E92" s="4">
        <v>16.899999999999999</v>
      </c>
      <c r="F92" s="4">
        <v>19.3</v>
      </c>
      <c r="G92" s="4">
        <v>0</v>
      </c>
    </row>
    <row r="93" spans="1:7" x14ac:dyDescent="0.2">
      <c r="A93" t="str">
        <f>"0194568818"</f>
        <v>0194568818</v>
      </c>
      <c r="B93" t="s">
        <v>102</v>
      </c>
      <c r="C93" t="str">
        <f t="shared" si="1"/>
        <v>19/09/01</v>
      </c>
      <c r="D93" t="str">
        <f>"GENESEE"</f>
        <v>GENESEE</v>
      </c>
      <c r="E93" s="4">
        <v>18.149999999999999</v>
      </c>
      <c r="F93" s="4">
        <v>19.32</v>
      </c>
      <c r="G93" s="4">
        <v>0</v>
      </c>
    </row>
    <row r="94" spans="1:7" x14ac:dyDescent="0.2">
      <c r="A94" t="str">
        <f>"0194568825"</f>
        <v>0194568825</v>
      </c>
      <c r="B94" t="s">
        <v>102</v>
      </c>
      <c r="C94" t="str">
        <f t="shared" si="1"/>
        <v>19/09/01</v>
      </c>
      <c r="D94" t="str">
        <f>"LIVINGSTON"</f>
        <v>LIVINGSTON</v>
      </c>
      <c r="E94" s="4">
        <v>17.57</v>
      </c>
      <c r="F94" s="4">
        <v>19.420000000000002</v>
      </c>
      <c r="G94" s="4">
        <v>0</v>
      </c>
    </row>
    <row r="95" spans="1:7" x14ac:dyDescent="0.2">
      <c r="A95" t="str">
        <f>"0194568827"</f>
        <v>0194568827</v>
      </c>
      <c r="B95" t="s">
        <v>102</v>
      </c>
      <c r="C95" t="str">
        <f t="shared" si="1"/>
        <v>19/09/01</v>
      </c>
      <c r="D95" t="str">
        <f>"MONROE"</f>
        <v>MONROE</v>
      </c>
      <c r="E95" s="4">
        <v>18.899999999999999</v>
      </c>
      <c r="F95" s="4">
        <v>19.989999999999998</v>
      </c>
      <c r="G95" s="4">
        <v>0</v>
      </c>
    </row>
    <row r="96" spans="1:7" x14ac:dyDescent="0.2">
      <c r="A96" t="str">
        <f>"0194568834"</f>
        <v>0194568834</v>
      </c>
      <c r="B96" t="s">
        <v>102</v>
      </c>
      <c r="C96" t="str">
        <f t="shared" si="1"/>
        <v>19/09/01</v>
      </c>
      <c r="D96" t="str">
        <f>"ONTARIO"</f>
        <v>ONTARIO</v>
      </c>
      <c r="E96" s="4">
        <v>18.46</v>
      </c>
      <c r="F96" s="4">
        <v>19.53</v>
      </c>
      <c r="G96" s="4">
        <v>0</v>
      </c>
    </row>
    <row r="97" spans="1:7" x14ac:dyDescent="0.2">
      <c r="A97" t="str">
        <f>"0194568836"</f>
        <v>0194568836</v>
      </c>
      <c r="B97" t="s">
        <v>102</v>
      </c>
      <c r="C97" t="str">
        <f t="shared" si="1"/>
        <v>19/09/01</v>
      </c>
      <c r="D97" t="str">
        <f>"ORLEANS"</f>
        <v>ORLEANS</v>
      </c>
      <c r="E97" s="4">
        <v>18.239999999999998</v>
      </c>
      <c r="F97" s="4">
        <v>19.309999999999999</v>
      </c>
      <c r="G97" s="4">
        <v>0</v>
      </c>
    </row>
    <row r="98" spans="1:7" x14ac:dyDescent="0.2">
      <c r="A98" t="str">
        <f>"0194568848"</f>
        <v>0194568848</v>
      </c>
      <c r="B98" t="s">
        <v>102</v>
      </c>
      <c r="C98" t="str">
        <f t="shared" si="1"/>
        <v>19/09/01</v>
      </c>
      <c r="D98" t="str">
        <f>"SCHUYLER"</f>
        <v>SCHUYLER</v>
      </c>
      <c r="E98" s="4">
        <v>17.45</v>
      </c>
      <c r="F98" s="4">
        <v>19.399999999999999</v>
      </c>
      <c r="G98" s="4">
        <v>0</v>
      </c>
    </row>
    <row r="99" spans="1:7" x14ac:dyDescent="0.2">
      <c r="A99" t="str">
        <f>"0194568850"</f>
        <v>0194568850</v>
      </c>
      <c r="B99" t="s">
        <v>102</v>
      </c>
      <c r="C99" t="str">
        <f t="shared" si="1"/>
        <v>19/09/01</v>
      </c>
      <c r="D99" t="str">
        <f>"STEUBEN"</f>
        <v>STEUBEN</v>
      </c>
      <c r="E99" s="4">
        <v>17.23</v>
      </c>
      <c r="F99" s="4">
        <v>19.37</v>
      </c>
      <c r="G99" s="4">
        <v>0</v>
      </c>
    </row>
    <row r="100" spans="1:7" x14ac:dyDescent="0.2">
      <c r="A100" t="str">
        <f>"0194568858"</f>
        <v>0194568858</v>
      </c>
      <c r="B100" t="s">
        <v>102</v>
      </c>
      <c r="C100" t="str">
        <f t="shared" si="1"/>
        <v>19/09/01</v>
      </c>
      <c r="D100" t="str">
        <f>"WAYNE"</f>
        <v>WAYNE</v>
      </c>
      <c r="E100" s="4">
        <v>17.53</v>
      </c>
      <c r="F100" s="4">
        <v>19.41</v>
      </c>
      <c r="G100" s="4">
        <v>0</v>
      </c>
    </row>
    <row r="101" spans="1:7" x14ac:dyDescent="0.2">
      <c r="A101" t="str">
        <f>"0194568860"</f>
        <v>0194568860</v>
      </c>
      <c r="B101" t="s">
        <v>102</v>
      </c>
      <c r="C101" t="str">
        <f t="shared" si="1"/>
        <v>19/09/01</v>
      </c>
      <c r="D101" t="str">
        <f>"WYOMING"</f>
        <v>WYOMING</v>
      </c>
      <c r="E101" s="4">
        <v>18.05</v>
      </c>
      <c r="F101" s="4">
        <v>19.399999999999999</v>
      </c>
      <c r="G101" s="4">
        <v>0</v>
      </c>
    </row>
    <row r="102" spans="1:7" x14ac:dyDescent="0.2">
      <c r="A102" t="str">
        <f>"0194568861"</f>
        <v>0194568861</v>
      </c>
      <c r="B102" t="s">
        <v>102</v>
      </c>
      <c r="C102" t="str">
        <f t="shared" si="1"/>
        <v>19/09/01</v>
      </c>
      <c r="D102" t="str">
        <f>"YATES"</f>
        <v>YATES</v>
      </c>
      <c r="E102" s="4">
        <v>18.59</v>
      </c>
      <c r="F102" s="4">
        <v>19.48</v>
      </c>
      <c r="G102" s="4">
        <v>0</v>
      </c>
    </row>
    <row r="103" spans="1:7" x14ac:dyDescent="0.2">
      <c r="A103" t="str">
        <f>"0081104106"</f>
        <v>0081104106</v>
      </c>
      <c r="B103" t="s">
        <v>25</v>
      </c>
      <c r="C103" t="str">
        <f t="shared" si="1"/>
        <v>19/09/01</v>
      </c>
      <c r="D103" t="str">
        <f>"CHAUTAUQUA"</f>
        <v>CHAUTAUQUA</v>
      </c>
      <c r="E103" s="4">
        <v>0</v>
      </c>
      <c r="F103" s="4">
        <v>0</v>
      </c>
      <c r="G103" s="4">
        <v>0</v>
      </c>
    </row>
    <row r="104" spans="1:7" x14ac:dyDescent="0.2">
      <c r="A104" t="str">
        <f>"0421373231"</f>
        <v>0421373231</v>
      </c>
      <c r="B104" t="s">
        <v>147</v>
      </c>
      <c r="C104" t="str">
        <f t="shared" si="1"/>
        <v>19/09/01</v>
      </c>
      <c r="D104" t="str">
        <f>"NIAGARA"</f>
        <v>NIAGARA</v>
      </c>
      <c r="E104" s="4">
        <v>26.02</v>
      </c>
      <c r="F104" s="4">
        <v>31.38</v>
      </c>
      <c r="G104" s="4">
        <v>339.87</v>
      </c>
    </row>
    <row r="105" spans="1:7" x14ac:dyDescent="0.2">
      <c r="A105" t="str">
        <f>"0421373251"</f>
        <v>0421373251</v>
      </c>
      <c r="B105" t="s">
        <v>147</v>
      </c>
      <c r="C105" t="str">
        <f t="shared" si="1"/>
        <v>19/09/01</v>
      </c>
      <c r="D105" t="str">
        <f>"SUFFOLK"</f>
        <v>SUFFOLK</v>
      </c>
      <c r="E105" s="4">
        <v>35.090000000000003</v>
      </c>
      <c r="F105" s="4">
        <v>36.200000000000003</v>
      </c>
      <c r="G105" s="4">
        <v>453.73</v>
      </c>
    </row>
    <row r="106" spans="1:7" x14ac:dyDescent="0.2">
      <c r="A106" t="str">
        <f>"0090452702"</f>
        <v>0090452702</v>
      </c>
      <c r="B106" t="s">
        <v>31</v>
      </c>
      <c r="C106" t="str">
        <f t="shared" si="1"/>
        <v>19/09/01</v>
      </c>
      <c r="D106" t="str">
        <f>"ALLEGANY"</f>
        <v>ALLEGANY</v>
      </c>
      <c r="E106" s="4">
        <v>0</v>
      </c>
      <c r="F106" s="4">
        <v>0</v>
      </c>
      <c r="G106" s="4">
        <v>0</v>
      </c>
    </row>
    <row r="107" spans="1:7" x14ac:dyDescent="0.2">
      <c r="A107" t="str">
        <f>"0090452704"</f>
        <v>0090452704</v>
      </c>
      <c r="B107" t="s">
        <v>31</v>
      </c>
      <c r="C107" t="str">
        <f t="shared" si="1"/>
        <v>19/09/01</v>
      </c>
      <c r="D107" t="str">
        <f>"CATTARAUGUS"</f>
        <v>CATTARAUGUS</v>
      </c>
      <c r="E107" s="4">
        <v>0</v>
      </c>
      <c r="F107" s="4">
        <v>0</v>
      </c>
      <c r="G107" s="4">
        <v>0</v>
      </c>
    </row>
    <row r="108" spans="1:7" x14ac:dyDescent="0.2">
      <c r="A108" t="str">
        <f>"0090452718"</f>
        <v>0090452718</v>
      </c>
      <c r="B108" t="s">
        <v>31</v>
      </c>
      <c r="C108" t="str">
        <f t="shared" si="1"/>
        <v>19/09/01</v>
      </c>
      <c r="D108" t="str">
        <f>"GENESEE"</f>
        <v>GENESEE</v>
      </c>
      <c r="E108" s="4">
        <v>0</v>
      </c>
      <c r="F108" s="4">
        <v>0</v>
      </c>
      <c r="G108" s="4">
        <v>0</v>
      </c>
    </row>
    <row r="109" spans="1:7" x14ac:dyDescent="0.2">
      <c r="A109" t="str">
        <f>"0090452760"</f>
        <v>0090452760</v>
      </c>
      <c r="B109" t="s">
        <v>31</v>
      </c>
      <c r="C109" t="str">
        <f t="shared" si="1"/>
        <v>19/09/01</v>
      </c>
      <c r="D109" t="str">
        <f>"WYOMING"</f>
        <v>WYOMING</v>
      </c>
      <c r="E109" s="4">
        <v>0</v>
      </c>
      <c r="F109" s="4">
        <v>0</v>
      </c>
      <c r="G109" s="4">
        <v>0</v>
      </c>
    </row>
    <row r="110" spans="1:7" x14ac:dyDescent="0.2">
      <c r="A110" t="str">
        <f>"0105254235"</f>
        <v>0105254235</v>
      </c>
      <c r="B110" t="s">
        <v>48</v>
      </c>
      <c r="C110" t="str">
        <f t="shared" si="1"/>
        <v>19/09/01</v>
      </c>
      <c r="D110" t="str">
        <f>"ORANGE"</f>
        <v>ORANGE</v>
      </c>
      <c r="E110" s="4">
        <v>20.55</v>
      </c>
      <c r="F110" s="4">
        <v>0</v>
      </c>
      <c r="G110" s="4">
        <v>265.48</v>
      </c>
    </row>
    <row r="111" spans="1:7" x14ac:dyDescent="0.2">
      <c r="A111" t="str">
        <f>"0105254243"</f>
        <v>0105254243</v>
      </c>
      <c r="B111" t="s">
        <v>48</v>
      </c>
      <c r="C111" t="str">
        <f t="shared" si="1"/>
        <v>19/09/01</v>
      </c>
      <c r="D111" t="str">
        <f>"ROCKLAND"</f>
        <v>ROCKLAND</v>
      </c>
      <c r="E111" s="4">
        <v>22.81</v>
      </c>
      <c r="F111" s="4">
        <v>23.5</v>
      </c>
      <c r="G111" s="4">
        <v>293.57</v>
      </c>
    </row>
    <row r="112" spans="1:7" x14ac:dyDescent="0.2">
      <c r="A112" t="str">
        <f>"0105254259"</f>
        <v>0105254259</v>
      </c>
      <c r="B112" t="s">
        <v>48</v>
      </c>
      <c r="C112" t="str">
        <f t="shared" si="1"/>
        <v>19/09/01</v>
      </c>
      <c r="D112" t="str">
        <f>"WESTCHESTER"</f>
        <v>WESTCHESTER</v>
      </c>
      <c r="E112" s="4">
        <v>23.72</v>
      </c>
      <c r="F112" s="4">
        <v>0</v>
      </c>
      <c r="G112" s="4">
        <v>305.43</v>
      </c>
    </row>
    <row r="113" spans="1:7" x14ac:dyDescent="0.2">
      <c r="A113" t="str">
        <f>"0179301715"</f>
        <v>0179301715</v>
      </c>
      <c r="B113" t="s">
        <v>94</v>
      </c>
      <c r="C113" t="str">
        <f t="shared" si="1"/>
        <v>19/09/01</v>
      </c>
      <c r="D113" t="str">
        <f>"ESSEX"</f>
        <v>ESSEX</v>
      </c>
      <c r="E113" s="4">
        <v>15.89</v>
      </c>
      <c r="F113" s="4">
        <v>20.55</v>
      </c>
      <c r="G113" s="4">
        <v>0</v>
      </c>
    </row>
    <row r="114" spans="1:7" x14ac:dyDescent="0.2">
      <c r="A114" t="str">
        <f>"0179301745"</f>
        <v>0179301745</v>
      </c>
      <c r="B114" t="s">
        <v>95</v>
      </c>
      <c r="C114" t="str">
        <f t="shared" si="1"/>
        <v>19/09/01</v>
      </c>
      <c r="D114" t="str">
        <f>"SARATOGA"</f>
        <v>SARATOGA</v>
      </c>
      <c r="E114" s="4">
        <v>16.78</v>
      </c>
      <c r="F114" s="4">
        <v>21.23</v>
      </c>
      <c r="G114" s="4">
        <v>0</v>
      </c>
    </row>
    <row r="115" spans="1:7" x14ac:dyDescent="0.2">
      <c r="A115" t="str">
        <f>"0179301756"</f>
        <v>0179301756</v>
      </c>
      <c r="B115" t="s">
        <v>95</v>
      </c>
      <c r="C115" t="str">
        <f t="shared" si="1"/>
        <v>19/09/01</v>
      </c>
      <c r="D115" t="str">
        <f>"WARREN"</f>
        <v>WARREN</v>
      </c>
      <c r="E115" s="4">
        <v>16.260000000000002</v>
      </c>
      <c r="F115" s="4">
        <v>20.95</v>
      </c>
      <c r="G115" s="4">
        <v>0</v>
      </c>
    </row>
    <row r="116" spans="1:7" x14ac:dyDescent="0.2">
      <c r="A116" t="str">
        <f>"0179301757"</f>
        <v>0179301757</v>
      </c>
      <c r="B116" t="s">
        <v>95</v>
      </c>
      <c r="C116" t="str">
        <f t="shared" si="1"/>
        <v>19/09/01</v>
      </c>
      <c r="D116" t="str">
        <f>"WASHINGTON"</f>
        <v>WASHINGTON</v>
      </c>
      <c r="E116" s="4">
        <v>16.78</v>
      </c>
      <c r="F116" s="4">
        <v>21.23</v>
      </c>
      <c r="G116" s="4">
        <v>0</v>
      </c>
    </row>
    <row r="117" spans="1:7" x14ac:dyDescent="0.2">
      <c r="A117" t="str">
        <f>"0170770805"</f>
        <v>0170770805</v>
      </c>
      <c r="B117" t="s">
        <v>84</v>
      </c>
      <c r="C117" t="str">
        <f t="shared" si="1"/>
        <v>19/09/01</v>
      </c>
      <c r="D117" t="str">
        <f>"CAYUGA"</f>
        <v>CAYUGA</v>
      </c>
      <c r="E117" s="4">
        <v>18.899999999999999</v>
      </c>
      <c r="F117" s="4">
        <v>0</v>
      </c>
      <c r="G117" s="4">
        <v>0</v>
      </c>
    </row>
    <row r="118" spans="1:7" x14ac:dyDescent="0.2">
      <c r="A118" t="str">
        <f>"0166411759"</f>
        <v>0166411759</v>
      </c>
      <c r="B118" t="s">
        <v>79</v>
      </c>
      <c r="C118" t="str">
        <f t="shared" si="1"/>
        <v>19/09/01</v>
      </c>
      <c r="D118" t="str">
        <f>"WESTCHESTER"</f>
        <v>WESTCHESTER</v>
      </c>
      <c r="E118" s="4">
        <v>26.64</v>
      </c>
      <c r="F118" s="4">
        <v>27.99</v>
      </c>
      <c r="G118" s="4">
        <v>47.74</v>
      </c>
    </row>
    <row r="119" spans="1:7" x14ac:dyDescent="0.2">
      <c r="A119" t="str">
        <f>"0240779801"</f>
        <v>0240779801</v>
      </c>
      <c r="B119" t="s">
        <v>117</v>
      </c>
      <c r="C119" t="str">
        <f t="shared" si="1"/>
        <v>19/09/01</v>
      </c>
      <c r="D119" t="str">
        <f>"ALBANY"</f>
        <v>ALBANY</v>
      </c>
      <c r="E119" s="4">
        <v>20.350000000000001</v>
      </c>
      <c r="F119" s="4">
        <v>21.91</v>
      </c>
      <c r="G119" s="4">
        <v>255.71</v>
      </c>
    </row>
    <row r="120" spans="1:7" x14ac:dyDescent="0.2">
      <c r="A120" t="str">
        <f>"0240779809"</f>
        <v>0240779809</v>
      </c>
      <c r="B120" t="s">
        <v>117</v>
      </c>
      <c r="C120" t="str">
        <f t="shared" si="1"/>
        <v>19/09/01</v>
      </c>
      <c r="D120" t="str">
        <f>"CLINTON"</f>
        <v>CLINTON</v>
      </c>
      <c r="E120" s="4">
        <v>20.57</v>
      </c>
      <c r="F120" s="4">
        <v>21.71</v>
      </c>
      <c r="G120" s="4">
        <v>247.23</v>
      </c>
    </row>
    <row r="121" spans="1:7" x14ac:dyDescent="0.2">
      <c r="A121" t="str">
        <f>"0240779812"</f>
        <v>0240779812</v>
      </c>
      <c r="B121" t="s">
        <v>117</v>
      </c>
      <c r="C121" t="str">
        <f t="shared" si="1"/>
        <v>19/09/01</v>
      </c>
      <c r="D121" t="str">
        <f>"DELAWARE"</f>
        <v>DELAWARE</v>
      </c>
      <c r="E121" s="4">
        <v>20.68</v>
      </c>
      <c r="F121" s="4">
        <v>22.25</v>
      </c>
      <c r="G121" s="4">
        <v>248.08</v>
      </c>
    </row>
    <row r="122" spans="1:7" x14ac:dyDescent="0.2">
      <c r="A122" t="str">
        <f>"0240779820"</f>
        <v>0240779820</v>
      </c>
      <c r="B122" t="s">
        <v>117</v>
      </c>
      <c r="C122" t="str">
        <f t="shared" si="1"/>
        <v>19/09/01</v>
      </c>
      <c r="D122" t="str">
        <f>"HAMILTON"</f>
        <v>HAMILTON</v>
      </c>
      <c r="E122" s="4">
        <v>20.39</v>
      </c>
      <c r="F122" s="4">
        <v>21.53</v>
      </c>
      <c r="G122" s="4">
        <v>261.86</v>
      </c>
    </row>
    <row r="123" spans="1:7" x14ac:dyDescent="0.2">
      <c r="A123" t="str">
        <f>"0240779829"</f>
        <v>0240779829</v>
      </c>
      <c r="B123" t="s">
        <v>117</v>
      </c>
      <c r="C123" t="str">
        <f t="shared" si="1"/>
        <v>19/09/01</v>
      </c>
      <c r="D123" t="str">
        <f>"NASSAU"</f>
        <v>NASSAU</v>
      </c>
      <c r="E123" s="4">
        <v>24.63</v>
      </c>
      <c r="F123" s="4">
        <v>24.11</v>
      </c>
      <c r="G123" s="4">
        <v>319.08</v>
      </c>
    </row>
    <row r="124" spans="1:7" x14ac:dyDescent="0.2">
      <c r="A124" t="str">
        <f>"0240779839"</f>
        <v>0240779839</v>
      </c>
      <c r="B124" t="s">
        <v>117</v>
      </c>
      <c r="C124" t="str">
        <f t="shared" si="1"/>
        <v>19/09/01</v>
      </c>
      <c r="D124" t="str">
        <f>"PUTNAM"</f>
        <v>PUTNAM</v>
      </c>
      <c r="E124" s="4">
        <v>21.43</v>
      </c>
      <c r="F124" s="4">
        <v>22.85</v>
      </c>
      <c r="G124" s="4">
        <v>275.27</v>
      </c>
    </row>
    <row r="125" spans="1:7" x14ac:dyDescent="0.2">
      <c r="A125" t="str">
        <f>"0240779845"</f>
        <v>0240779845</v>
      </c>
      <c r="B125" t="s">
        <v>117</v>
      </c>
      <c r="C125" t="str">
        <f t="shared" si="1"/>
        <v>19/09/01</v>
      </c>
      <c r="D125" t="str">
        <f>"SARATOGA"</f>
        <v>SARATOGA</v>
      </c>
      <c r="E125" s="4">
        <v>20.36</v>
      </c>
      <c r="F125" s="4">
        <v>21.88</v>
      </c>
      <c r="G125" s="4">
        <v>260.97000000000003</v>
      </c>
    </row>
    <row r="126" spans="1:7" x14ac:dyDescent="0.2">
      <c r="A126" t="str">
        <f>"0240779846"</f>
        <v>0240779846</v>
      </c>
      <c r="B126" t="s">
        <v>117</v>
      </c>
      <c r="C126" t="str">
        <f t="shared" si="1"/>
        <v>19/09/01</v>
      </c>
      <c r="D126" t="str">
        <f>"SCHENECTADY"</f>
        <v>SCHENECTADY</v>
      </c>
      <c r="E126" s="4">
        <v>20.350000000000001</v>
      </c>
      <c r="F126" s="4">
        <v>22.69</v>
      </c>
      <c r="G126" s="4">
        <v>257.07</v>
      </c>
    </row>
    <row r="127" spans="1:7" x14ac:dyDescent="0.2">
      <c r="A127" t="str">
        <f>"0240779859"</f>
        <v>0240779859</v>
      </c>
      <c r="B127" t="s">
        <v>117</v>
      </c>
      <c r="C127" t="str">
        <f t="shared" si="1"/>
        <v>19/09/01</v>
      </c>
      <c r="D127" t="str">
        <f>"WESTCHESTER"</f>
        <v>WESTCHESTER</v>
      </c>
      <c r="E127" s="4">
        <v>23.62</v>
      </c>
      <c r="F127" s="4">
        <v>23.73</v>
      </c>
      <c r="G127" s="4">
        <v>304.11</v>
      </c>
    </row>
    <row r="128" spans="1:7" x14ac:dyDescent="0.2">
      <c r="A128" t="str">
        <f>"0240779856"</f>
        <v>0240779856</v>
      </c>
      <c r="B128" t="s">
        <v>118</v>
      </c>
      <c r="C128" t="str">
        <f t="shared" si="1"/>
        <v>19/09/01</v>
      </c>
      <c r="D128" t="str">
        <f>"WARREN"</f>
        <v>WARREN</v>
      </c>
      <c r="E128" s="4">
        <v>20.71</v>
      </c>
      <c r="F128" s="4">
        <v>22.6</v>
      </c>
      <c r="G128" s="4">
        <v>248.71</v>
      </c>
    </row>
    <row r="129" spans="1:7" x14ac:dyDescent="0.2">
      <c r="A129" t="str">
        <f>"0188056001"</f>
        <v>0188056001</v>
      </c>
      <c r="B129" t="s">
        <v>101</v>
      </c>
      <c r="C129" t="str">
        <f t="shared" si="1"/>
        <v>19/09/01</v>
      </c>
      <c r="D129" t="str">
        <f>"ALBANY"</f>
        <v>ALBANY</v>
      </c>
      <c r="E129" s="4">
        <v>18.059999999999999</v>
      </c>
      <c r="F129" s="4">
        <v>19.649999999999999</v>
      </c>
      <c r="G129" s="4">
        <v>233.07</v>
      </c>
    </row>
    <row r="130" spans="1:7" x14ac:dyDescent="0.2">
      <c r="A130" t="str">
        <f>"0188056010"</f>
        <v>0188056010</v>
      </c>
      <c r="B130" t="s">
        <v>101</v>
      </c>
      <c r="C130" t="str">
        <f t="shared" si="1"/>
        <v>19/09/01</v>
      </c>
      <c r="D130" t="str">
        <f>"COLUMBIA"</f>
        <v>COLUMBIA</v>
      </c>
      <c r="E130" s="4">
        <v>18.09</v>
      </c>
      <c r="F130" s="4">
        <v>19.68</v>
      </c>
      <c r="G130" s="4">
        <v>236.39</v>
      </c>
    </row>
    <row r="131" spans="1:7" x14ac:dyDescent="0.2">
      <c r="A131" t="str">
        <f>"0188056019"</f>
        <v>0188056019</v>
      </c>
      <c r="B131" t="s">
        <v>101</v>
      </c>
      <c r="C131" t="str">
        <f t="shared" si="1"/>
        <v>19/09/01</v>
      </c>
      <c r="D131" t="str">
        <f>"GREENE"</f>
        <v>GREENE</v>
      </c>
      <c r="E131" s="4">
        <v>18.12</v>
      </c>
      <c r="F131" s="4">
        <v>19.7</v>
      </c>
      <c r="G131" s="4">
        <v>236.7</v>
      </c>
    </row>
    <row r="132" spans="1:7" x14ac:dyDescent="0.2">
      <c r="A132" t="str">
        <f>"0188056045"</f>
        <v>0188056045</v>
      </c>
      <c r="B132" t="s">
        <v>101</v>
      </c>
      <c r="C132" t="str">
        <f t="shared" si="1"/>
        <v>19/09/01</v>
      </c>
      <c r="D132" t="str">
        <f>"SARATOGA"</f>
        <v>SARATOGA</v>
      </c>
      <c r="E132" s="4">
        <v>18.059999999999999</v>
      </c>
      <c r="F132" s="4">
        <v>19.649999999999999</v>
      </c>
      <c r="G132" s="4">
        <v>235.91</v>
      </c>
    </row>
    <row r="133" spans="1:7" x14ac:dyDescent="0.2">
      <c r="A133" t="str">
        <f>"0188056046"</f>
        <v>0188056046</v>
      </c>
      <c r="B133" t="s">
        <v>101</v>
      </c>
      <c r="C133" t="str">
        <f t="shared" si="1"/>
        <v>19/09/01</v>
      </c>
      <c r="D133" t="str">
        <f>"SCHENECTADY"</f>
        <v>SCHENECTADY</v>
      </c>
      <c r="E133" s="4">
        <v>18.04</v>
      </c>
      <c r="F133" s="4">
        <v>19.87</v>
      </c>
      <c r="G133" s="4">
        <v>235.97</v>
      </c>
    </row>
    <row r="134" spans="1:7" x14ac:dyDescent="0.2">
      <c r="A134" t="str">
        <f>"0188056057"</f>
        <v>0188056057</v>
      </c>
      <c r="B134" t="s">
        <v>166</v>
      </c>
      <c r="C134" t="str">
        <f t="shared" ref="C134:C197" si="2">"19/09/01"</f>
        <v>19/09/01</v>
      </c>
      <c r="D134" t="str">
        <f>"WASHINGTON"</f>
        <v>WASHINGTON</v>
      </c>
      <c r="E134" s="4">
        <v>17.93</v>
      </c>
      <c r="F134" s="4">
        <v>19.739999999999998</v>
      </c>
      <c r="G134" s="4">
        <v>234.21</v>
      </c>
    </row>
    <row r="135" spans="1:7" x14ac:dyDescent="0.2">
      <c r="A135" t="str">
        <f>"0177831211"</f>
        <v>0177831211</v>
      </c>
      <c r="B135" t="s">
        <v>93</v>
      </c>
      <c r="C135" t="str">
        <f t="shared" si="2"/>
        <v>19/09/01</v>
      </c>
      <c r="D135" t="str">
        <f>"CORTLAND"</f>
        <v>CORTLAND</v>
      </c>
      <c r="E135" s="4">
        <v>15.34</v>
      </c>
      <c r="F135" s="4">
        <v>16.38</v>
      </c>
      <c r="G135" s="4">
        <v>0</v>
      </c>
    </row>
    <row r="136" spans="1:7" x14ac:dyDescent="0.2">
      <c r="A136" t="str">
        <f>"0200188901"</f>
        <v>0200188901</v>
      </c>
      <c r="B136" t="s">
        <v>104</v>
      </c>
      <c r="C136" t="str">
        <f t="shared" si="2"/>
        <v>19/09/01</v>
      </c>
      <c r="D136" t="str">
        <f>"ALBANY"</f>
        <v>ALBANY</v>
      </c>
      <c r="E136" s="4">
        <v>0</v>
      </c>
      <c r="F136" s="4">
        <v>0</v>
      </c>
      <c r="G136" s="4">
        <v>0</v>
      </c>
    </row>
    <row r="137" spans="1:7" x14ac:dyDescent="0.2">
      <c r="A137" t="str">
        <f>"0200188941"</f>
        <v>0200188941</v>
      </c>
      <c r="B137" t="s">
        <v>104</v>
      </c>
      <c r="C137" t="str">
        <f t="shared" si="2"/>
        <v>19/09/01</v>
      </c>
      <c r="D137" t="str">
        <f>"RENSSELAER"</f>
        <v>RENSSELAER</v>
      </c>
      <c r="E137" s="4">
        <v>0</v>
      </c>
      <c r="F137" s="4">
        <v>0</v>
      </c>
      <c r="G137" s="4">
        <v>0</v>
      </c>
    </row>
    <row r="138" spans="1:7" x14ac:dyDescent="0.2">
      <c r="A138" t="str">
        <f>"0372842505"</f>
        <v>0372842505</v>
      </c>
      <c r="B138" t="s">
        <v>138</v>
      </c>
      <c r="C138" t="str">
        <f t="shared" si="2"/>
        <v>19/09/01</v>
      </c>
      <c r="D138" t="str">
        <f>"CAYUGA"</f>
        <v>CAYUGA</v>
      </c>
      <c r="E138" s="4">
        <v>28.14</v>
      </c>
      <c r="F138" s="4">
        <v>30.31</v>
      </c>
      <c r="G138" s="4">
        <v>365.91</v>
      </c>
    </row>
    <row r="139" spans="1:7" x14ac:dyDescent="0.2">
      <c r="A139" t="str">
        <f>"0128870633"</f>
        <v>0128870633</v>
      </c>
      <c r="B139" t="s">
        <v>63</v>
      </c>
      <c r="C139" t="str">
        <f t="shared" si="2"/>
        <v>19/09/01</v>
      </c>
      <c r="D139" t="str">
        <f>"ONONDAGA"</f>
        <v>ONONDAGA</v>
      </c>
      <c r="E139" s="4">
        <v>17.89</v>
      </c>
      <c r="F139" s="4">
        <v>19.02</v>
      </c>
      <c r="G139" s="4">
        <v>0</v>
      </c>
    </row>
    <row r="140" spans="1:7" x14ac:dyDescent="0.2">
      <c r="A140" t="str">
        <f>"0215044310"</f>
        <v>0215044310</v>
      </c>
      <c r="B140" t="s">
        <v>107</v>
      </c>
      <c r="C140" t="str">
        <f t="shared" si="2"/>
        <v>19/09/01</v>
      </c>
      <c r="D140" t="str">
        <f>"COLUMBIA"</f>
        <v>COLUMBIA</v>
      </c>
      <c r="E140" s="4">
        <v>0</v>
      </c>
      <c r="F140" s="4">
        <v>0</v>
      </c>
      <c r="G140" s="4">
        <v>0</v>
      </c>
    </row>
    <row r="141" spans="1:7" x14ac:dyDescent="0.2">
      <c r="A141" t="str">
        <f>"0215044301"</f>
        <v>0215044301</v>
      </c>
      <c r="B141" t="s">
        <v>106</v>
      </c>
      <c r="C141" t="str">
        <f t="shared" si="2"/>
        <v>19/09/01</v>
      </c>
      <c r="D141" t="str">
        <f>"ALBANY"</f>
        <v>ALBANY</v>
      </c>
      <c r="E141" s="4">
        <v>0</v>
      </c>
      <c r="F141" s="4">
        <v>0</v>
      </c>
      <c r="G141" s="4">
        <v>0</v>
      </c>
    </row>
    <row r="142" spans="1:7" x14ac:dyDescent="0.2">
      <c r="A142" t="str">
        <f>"0215044341"</f>
        <v>0215044341</v>
      </c>
      <c r="B142" t="s">
        <v>106</v>
      </c>
      <c r="C142" t="str">
        <f t="shared" si="2"/>
        <v>19/09/01</v>
      </c>
      <c r="D142" t="str">
        <f>"RENSSELAER"</f>
        <v>RENSSELAER</v>
      </c>
      <c r="E142" s="4">
        <v>0</v>
      </c>
      <c r="F142" s="4">
        <v>0</v>
      </c>
      <c r="G142" s="4">
        <v>0</v>
      </c>
    </row>
    <row r="143" spans="1:7" x14ac:dyDescent="0.2">
      <c r="A143" t="str">
        <f>"0215044345"</f>
        <v>0215044345</v>
      </c>
      <c r="B143" t="s">
        <v>106</v>
      </c>
      <c r="C143" t="str">
        <f t="shared" si="2"/>
        <v>19/09/01</v>
      </c>
      <c r="D143" t="str">
        <f>"SARATOGA"</f>
        <v>SARATOGA</v>
      </c>
      <c r="E143" s="4">
        <v>0</v>
      </c>
      <c r="F143" s="4">
        <v>0</v>
      </c>
      <c r="G143" s="4">
        <v>0</v>
      </c>
    </row>
    <row r="144" spans="1:7" x14ac:dyDescent="0.2">
      <c r="A144" t="str">
        <f>"0215044356"</f>
        <v>0215044356</v>
      </c>
      <c r="B144" t="s">
        <v>106</v>
      </c>
      <c r="C144" t="str">
        <f t="shared" si="2"/>
        <v>19/09/01</v>
      </c>
      <c r="D144" t="str">
        <f>"WARREN"</f>
        <v>WARREN</v>
      </c>
      <c r="E144" s="4">
        <v>0</v>
      </c>
      <c r="F144" s="4">
        <v>0</v>
      </c>
      <c r="G144" s="4">
        <v>0</v>
      </c>
    </row>
    <row r="145" spans="1:7" x14ac:dyDescent="0.2">
      <c r="A145" t="str">
        <f>"0215044357"</f>
        <v>0215044357</v>
      </c>
      <c r="B145" t="s">
        <v>106</v>
      </c>
      <c r="C145" t="str">
        <f t="shared" si="2"/>
        <v>19/09/01</v>
      </c>
      <c r="D145" t="str">
        <f>"WASHINGTON"</f>
        <v>WASHINGTON</v>
      </c>
      <c r="E145" s="4">
        <v>0</v>
      </c>
      <c r="F145" s="4">
        <v>0</v>
      </c>
      <c r="G145" s="4">
        <v>0</v>
      </c>
    </row>
    <row r="146" spans="1:7" x14ac:dyDescent="0.2">
      <c r="A146" t="str">
        <f>"0215044346"</f>
        <v>0215044346</v>
      </c>
      <c r="B146" t="s">
        <v>108</v>
      </c>
      <c r="C146" t="str">
        <f t="shared" si="2"/>
        <v>19/09/01</v>
      </c>
      <c r="D146" t="str">
        <f>"SCHENECTADY"</f>
        <v>SCHENECTADY</v>
      </c>
      <c r="E146" s="4">
        <v>0</v>
      </c>
      <c r="F146" s="4">
        <v>0</v>
      </c>
      <c r="G146" s="4">
        <v>0</v>
      </c>
    </row>
    <row r="147" spans="1:7" x14ac:dyDescent="0.2">
      <c r="A147" t="str">
        <f>"0055587146"</f>
        <v>0055587146</v>
      </c>
      <c r="B147" t="s">
        <v>15</v>
      </c>
      <c r="C147" t="str">
        <f t="shared" si="2"/>
        <v>19/09/01</v>
      </c>
      <c r="D147" t="str">
        <f>"SCHENECTADY"</f>
        <v>SCHENECTADY</v>
      </c>
      <c r="E147" s="4">
        <v>0</v>
      </c>
      <c r="F147" s="4">
        <v>0</v>
      </c>
      <c r="G147" s="4">
        <v>0</v>
      </c>
    </row>
    <row r="148" spans="1:7" x14ac:dyDescent="0.2">
      <c r="A148" t="str">
        <f>"0059034503"</f>
        <v>0059034503</v>
      </c>
      <c r="B148" t="s">
        <v>19</v>
      </c>
      <c r="C148" t="str">
        <f t="shared" si="2"/>
        <v>19/09/01</v>
      </c>
      <c r="D148" t="str">
        <f>"BROOME"</f>
        <v>BROOME</v>
      </c>
      <c r="E148" s="4">
        <v>0</v>
      </c>
      <c r="F148" s="4">
        <v>0</v>
      </c>
      <c r="G148" s="4">
        <v>0</v>
      </c>
    </row>
    <row r="149" spans="1:7" x14ac:dyDescent="0.2">
      <c r="A149" t="str">
        <f>"0393790043"</f>
        <v>0393790043</v>
      </c>
      <c r="B149" t="s">
        <v>139</v>
      </c>
      <c r="C149" t="str">
        <f t="shared" si="2"/>
        <v>19/09/01</v>
      </c>
      <c r="D149" t="str">
        <f>"ROCKLAND"</f>
        <v>ROCKLAND</v>
      </c>
      <c r="E149" s="4">
        <v>19.760000000000002</v>
      </c>
      <c r="F149" s="4">
        <v>0</v>
      </c>
      <c r="G149" s="4">
        <v>0</v>
      </c>
    </row>
    <row r="150" spans="1:7" x14ac:dyDescent="0.2">
      <c r="A150" t="str">
        <f>"0393790059"</f>
        <v>0393790059</v>
      </c>
      <c r="B150" t="s">
        <v>139</v>
      </c>
      <c r="C150" t="str">
        <f t="shared" si="2"/>
        <v>19/09/01</v>
      </c>
      <c r="D150" t="str">
        <f>"WESTCHESTER"</f>
        <v>WESTCHESTER</v>
      </c>
      <c r="E150" s="4">
        <v>20.5</v>
      </c>
      <c r="F150" s="4">
        <v>0</v>
      </c>
      <c r="G150" s="4">
        <v>0</v>
      </c>
    </row>
    <row r="151" spans="1:7" x14ac:dyDescent="0.2">
      <c r="A151" t="str">
        <f>"0054661259"</f>
        <v>0054661259</v>
      </c>
      <c r="B151" t="s">
        <v>12</v>
      </c>
      <c r="C151" t="str">
        <f t="shared" si="2"/>
        <v>19/09/01</v>
      </c>
      <c r="D151" t="str">
        <f>"WESTCHESTER"</f>
        <v>WESTCHESTER</v>
      </c>
      <c r="E151" s="4">
        <v>22.51</v>
      </c>
      <c r="F151" s="4">
        <v>27.74</v>
      </c>
      <c r="G151" s="4">
        <v>290.08999999999997</v>
      </c>
    </row>
    <row r="152" spans="1:7" x14ac:dyDescent="0.2">
      <c r="A152" t="str">
        <f>"0090645007"</f>
        <v>0090645007</v>
      </c>
      <c r="B152" t="s">
        <v>32</v>
      </c>
      <c r="C152" t="str">
        <f t="shared" si="2"/>
        <v>19/09/01</v>
      </c>
      <c r="D152" t="str">
        <f>"CHEMUNG"</f>
        <v>CHEMUNG</v>
      </c>
      <c r="E152" s="4">
        <v>0</v>
      </c>
      <c r="F152" s="4">
        <v>0</v>
      </c>
      <c r="G152" s="4">
        <v>0</v>
      </c>
    </row>
    <row r="153" spans="1:7" x14ac:dyDescent="0.2">
      <c r="A153" t="str">
        <f>"0054660359"</f>
        <v>0054660359</v>
      </c>
      <c r="B153" t="s">
        <v>11</v>
      </c>
      <c r="C153" t="str">
        <f t="shared" si="2"/>
        <v>19/09/01</v>
      </c>
      <c r="D153" t="str">
        <f>"WESTCHESTER"</f>
        <v>WESTCHESTER</v>
      </c>
      <c r="E153" s="4">
        <v>23.42</v>
      </c>
      <c r="F153" s="4">
        <v>23.69</v>
      </c>
      <c r="G153" s="4">
        <v>0</v>
      </c>
    </row>
    <row r="154" spans="1:7" x14ac:dyDescent="0.2">
      <c r="A154" t="str">
        <f>"0182358734"</f>
        <v>0182358734</v>
      </c>
      <c r="B154" t="s">
        <v>100</v>
      </c>
      <c r="C154" t="str">
        <f t="shared" si="2"/>
        <v>19/09/01</v>
      </c>
      <c r="D154" t="str">
        <f>"ONTARIO"</f>
        <v>ONTARIO</v>
      </c>
      <c r="E154" s="4">
        <v>0</v>
      </c>
      <c r="F154" s="4">
        <v>0</v>
      </c>
      <c r="G154" s="4">
        <v>0</v>
      </c>
    </row>
    <row r="155" spans="1:7" x14ac:dyDescent="0.2">
      <c r="A155" t="str">
        <f>"0177646154"</f>
        <v>0177646154</v>
      </c>
      <c r="B155" t="s">
        <v>164</v>
      </c>
      <c r="C155" t="str">
        <f t="shared" si="2"/>
        <v>19/09/01</v>
      </c>
      <c r="D155" t="str">
        <f>"TOMPKINS"</f>
        <v>TOMPKINS</v>
      </c>
      <c r="E155" s="4">
        <v>14.67</v>
      </c>
      <c r="F155" s="4">
        <v>14.67</v>
      </c>
      <c r="G155" s="4">
        <v>189.04</v>
      </c>
    </row>
    <row r="156" spans="1:7" x14ac:dyDescent="0.2">
      <c r="A156" t="str">
        <f>"0499093814"</f>
        <v>0499093814</v>
      </c>
      <c r="B156" t="s">
        <v>178</v>
      </c>
      <c r="C156" t="str">
        <f t="shared" si="2"/>
        <v>19/09/01</v>
      </c>
      <c r="D156" t="str">
        <f>"ERIE"</f>
        <v>ERIE</v>
      </c>
      <c r="E156" s="4">
        <v>0</v>
      </c>
      <c r="F156" s="4">
        <v>0</v>
      </c>
      <c r="G156" s="4">
        <v>0</v>
      </c>
    </row>
    <row r="157" spans="1:7" x14ac:dyDescent="0.2">
      <c r="A157" t="str">
        <f>"0296979920"</f>
        <v>0296979920</v>
      </c>
      <c r="B157" t="s">
        <v>127</v>
      </c>
      <c r="C157" t="str">
        <f t="shared" si="2"/>
        <v>19/09/01</v>
      </c>
      <c r="D157" t="str">
        <f>"HAMILTON"</f>
        <v>HAMILTON</v>
      </c>
      <c r="E157" s="4">
        <v>0</v>
      </c>
      <c r="F157" s="4">
        <v>0</v>
      </c>
      <c r="G157" s="4">
        <v>0</v>
      </c>
    </row>
    <row r="158" spans="1:7" x14ac:dyDescent="0.2">
      <c r="A158" t="str">
        <f>"0296979956"</f>
        <v>0296979956</v>
      </c>
      <c r="B158" t="s">
        <v>127</v>
      </c>
      <c r="C158" t="str">
        <f t="shared" si="2"/>
        <v>19/09/01</v>
      </c>
      <c r="D158" t="str">
        <f>"WARREN"</f>
        <v>WARREN</v>
      </c>
      <c r="E158" s="4">
        <v>18.670000000000002</v>
      </c>
      <c r="F158" s="4">
        <v>0</v>
      </c>
      <c r="G158" s="4">
        <v>0</v>
      </c>
    </row>
    <row r="159" spans="1:7" x14ac:dyDescent="0.2">
      <c r="A159" t="str">
        <f>"0296979957"</f>
        <v>0296979957</v>
      </c>
      <c r="B159" t="s">
        <v>127</v>
      </c>
      <c r="C159" t="str">
        <f t="shared" si="2"/>
        <v>19/09/01</v>
      </c>
      <c r="D159" t="str">
        <f>"WASHINGTON"</f>
        <v>WASHINGTON</v>
      </c>
      <c r="E159" s="4">
        <v>18.329999999999998</v>
      </c>
      <c r="F159" s="4">
        <v>0</v>
      </c>
      <c r="G159" s="4">
        <v>0</v>
      </c>
    </row>
    <row r="160" spans="1:7" x14ac:dyDescent="0.2">
      <c r="A160" t="str">
        <f>"0148777829"</f>
        <v>0148777829</v>
      </c>
      <c r="B160" t="s">
        <v>72</v>
      </c>
      <c r="C160" t="str">
        <f t="shared" si="2"/>
        <v>19/09/01</v>
      </c>
      <c r="D160" t="str">
        <f>"NASSAU"</f>
        <v>NASSAU</v>
      </c>
      <c r="E160" s="4">
        <v>27.76</v>
      </c>
      <c r="F160" s="4">
        <v>29.41</v>
      </c>
      <c r="G160" s="4">
        <v>358.21</v>
      </c>
    </row>
    <row r="161" spans="1:7" x14ac:dyDescent="0.2">
      <c r="A161" t="str">
        <f>"0147051125"</f>
        <v>0147051125</v>
      </c>
      <c r="B161" t="s">
        <v>70</v>
      </c>
      <c r="C161" t="str">
        <f t="shared" si="2"/>
        <v>19/09/01</v>
      </c>
      <c r="D161" t="str">
        <f>"LIVINGSTON"</f>
        <v>LIVINGSTON</v>
      </c>
      <c r="E161" s="4">
        <v>0</v>
      </c>
      <c r="F161" s="4">
        <v>0</v>
      </c>
      <c r="G161" s="4">
        <v>0</v>
      </c>
    </row>
    <row r="162" spans="1:7" x14ac:dyDescent="0.2">
      <c r="A162" t="str">
        <f>"0147051127"</f>
        <v>0147051127</v>
      </c>
      <c r="B162" t="s">
        <v>70</v>
      </c>
      <c r="C162" t="str">
        <f t="shared" si="2"/>
        <v>19/09/01</v>
      </c>
      <c r="D162" t="str">
        <f>"MONROE"</f>
        <v>MONROE</v>
      </c>
      <c r="E162" s="4">
        <v>0</v>
      </c>
      <c r="F162" s="4">
        <v>0</v>
      </c>
      <c r="G162" s="4">
        <v>0</v>
      </c>
    </row>
    <row r="163" spans="1:7" x14ac:dyDescent="0.2">
      <c r="A163" t="str">
        <f>"0147051149"</f>
        <v>0147051149</v>
      </c>
      <c r="B163" t="s">
        <v>70</v>
      </c>
      <c r="C163" t="str">
        <f t="shared" si="2"/>
        <v>19/09/01</v>
      </c>
      <c r="D163" t="str">
        <f>"SENECA"</f>
        <v>SENECA</v>
      </c>
      <c r="E163" s="4">
        <v>0</v>
      </c>
      <c r="F163" s="4">
        <v>0</v>
      </c>
      <c r="G163" s="4">
        <v>0</v>
      </c>
    </row>
    <row r="164" spans="1:7" x14ac:dyDescent="0.2">
      <c r="A164" t="str">
        <f>"0147051158"</f>
        <v>0147051158</v>
      </c>
      <c r="B164" t="s">
        <v>70</v>
      </c>
      <c r="C164" t="str">
        <f t="shared" si="2"/>
        <v>19/09/01</v>
      </c>
      <c r="D164" t="str">
        <f>"WAYNE"</f>
        <v>WAYNE</v>
      </c>
      <c r="E164" s="4">
        <v>0</v>
      </c>
      <c r="F164" s="4">
        <v>0</v>
      </c>
      <c r="G164" s="4">
        <v>0</v>
      </c>
    </row>
    <row r="165" spans="1:7" x14ac:dyDescent="0.2">
      <c r="A165" t="str">
        <f>"0147051161"</f>
        <v>0147051161</v>
      </c>
      <c r="B165" t="s">
        <v>70</v>
      </c>
      <c r="C165" t="str">
        <f t="shared" si="2"/>
        <v>19/09/01</v>
      </c>
      <c r="D165" t="str">
        <f>"YATES"</f>
        <v>YATES</v>
      </c>
      <c r="E165" s="4">
        <v>0</v>
      </c>
      <c r="F165" s="4">
        <v>0</v>
      </c>
      <c r="G165" s="4">
        <v>0</v>
      </c>
    </row>
    <row r="166" spans="1:7" x14ac:dyDescent="0.2">
      <c r="A166" t="str">
        <f>"0147051134"</f>
        <v>0147051134</v>
      </c>
      <c r="B166" t="s">
        <v>71</v>
      </c>
      <c r="C166" t="str">
        <f t="shared" si="2"/>
        <v>19/09/01</v>
      </c>
      <c r="D166" t="str">
        <f>"ONTARIO"</f>
        <v>ONTARIO</v>
      </c>
      <c r="E166" s="4">
        <v>0</v>
      </c>
      <c r="F166" s="4">
        <v>0</v>
      </c>
      <c r="G166" s="4">
        <v>0</v>
      </c>
    </row>
    <row r="167" spans="1:7" x14ac:dyDescent="0.2">
      <c r="A167" t="str">
        <f>"0158266346"</f>
        <v>0158266346</v>
      </c>
      <c r="B167" t="s">
        <v>75</v>
      </c>
      <c r="C167" t="str">
        <f t="shared" si="2"/>
        <v>19/09/01</v>
      </c>
      <c r="D167" t="str">
        <f>"SCHENECTADY"</f>
        <v>SCHENECTADY</v>
      </c>
      <c r="E167" s="4">
        <v>0</v>
      </c>
      <c r="F167" s="4">
        <v>0</v>
      </c>
      <c r="G167" s="4">
        <v>0</v>
      </c>
    </row>
    <row r="168" spans="1:7" x14ac:dyDescent="0.2">
      <c r="A168" t="str">
        <f>"0416090902"</f>
        <v>0416090902</v>
      </c>
      <c r="B168" t="s">
        <v>140</v>
      </c>
      <c r="C168" t="str">
        <f t="shared" si="2"/>
        <v>19/09/01</v>
      </c>
      <c r="D168" t="str">
        <f>"ALLEGANY"</f>
        <v>ALLEGANY</v>
      </c>
      <c r="E168" s="4">
        <v>29.79</v>
      </c>
      <c r="F168" s="4">
        <v>32.93</v>
      </c>
      <c r="G168" s="4">
        <v>385.52</v>
      </c>
    </row>
    <row r="169" spans="1:7" x14ac:dyDescent="0.2">
      <c r="A169" t="str">
        <f>"0416090903"</f>
        <v>0416090903</v>
      </c>
      <c r="B169" t="s">
        <v>140</v>
      </c>
      <c r="C169" t="str">
        <f t="shared" si="2"/>
        <v>19/09/01</v>
      </c>
      <c r="D169" t="str">
        <f>"BROOME"</f>
        <v>BROOME</v>
      </c>
      <c r="E169" s="4">
        <v>29.79</v>
      </c>
      <c r="F169" s="4">
        <v>32.93</v>
      </c>
      <c r="G169" s="4">
        <v>385.52</v>
      </c>
    </row>
    <row r="170" spans="1:7" x14ac:dyDescent="0.2">
      <c r="A170" t="str">
        <f>"0416090905"</f>
        <v>0416090905</v>
      </c>
      <c r="B170" t="s">
        <v>140</v>
      </c>
      <c r="C170" t="str">
        <f t="shared" si="2"/>
        <v>19/09/01</v>
      </c>
      <c r="D170" t="str">
        <f>"CAYUGA"</f>
        <v>CAYUGA</v>
      </c>
      <c r="E170" s="4">
        <v>29.79</v>
      </c>
      <c r="F170" s="4">
        <v>32.93</v>
      </c>
      <c r="G170" s="4">
        <v>385.52</v>
      </c>
    </row>
    <row r="171" spans="1:7" x14ac:dyDescent="0.2">
      <c r="A171" t="str">
        <f>"0416090906"</f>
        <v>0416090906</v>
      </c>
      <c r="B171" t="s">
        <v>140</v>
      </c>
      <c r="C171" t="str">
        <f t="shared" si="2"/>
        <v>19/09/01</v>
      </c>
      <c r="D171" t="str">
        <f>"CHAUTAUQUA"</f>
        <v>CHAUTAUQUA</v>
      </c>
      <c r="E171" s="4">
        <v>29.79</v>
      </c>
      <c r="F171" s="4">
        <v>32.93</v>
      </c>
      <c r="G171" s="4">
        <v>385.52</v>
      </c>
    </row>
    <row r="172" spans="1:7" x14ac:dyDescent="0.2">
      <c r="A172" t="str">
        <f>"0416090907"</f>
        <v>0416090907</v>
      </c>
      <c r="B172" t="s">
        <v>140</v>
      </c>
      <c r="C172" t="str">
        <f t="shared" si="2"/>
        <v>19/09/01</v>
      </c>
      <c r="D172" t="str">
        <f>"CHEMUNG"</f>
        <v>CHEMUNG</v>
      </c>
      <c r="E172" s="4">
        <v>29.79</v>
      </c>
      <c r="F172" s="4">
        <v>32.93</v>
      </c>
      <c r="G172" s="4">
        <v>385.52</v>
      </c>
    </row>
    <row r="173" spans="1:7" x14ac:dyDescent="0.2">
      <c r="A173" t="str">
        <f>"0416090914"</f>
        <v>0416090914</v>
      </c>
      <c r="B173" t="s">
        <v>140</v>
      </c>
      <c r="C173" t="str">
        <f t="shared" si="2"/>
        <v>19/09/01</v>
      </c>
      <c r="D173" t="str">
        <f>"ERIE"</f>
        <v>ERIE</v>
      </c>
      <c r="E173" s="4">
        <v>29.79</v>
      </c>
      <c r="F173" s="4">
        <v>32.93</v>
      </c>
      <c r="G173" s="4">
        <v>385.52</v>
      </c>
    </row>
    <row r="174" spans="1:7" x14ac:dyDescent="0.2">
      <c r="A174" t="str">
        <f>"0416090922"</f>
        <v>0416090922</v>
      </c>
      <c r="B174" t="s">
        <v>140</v>
      </c>
      <c r="C174" t="str">
        <f t="shared" si="2"/>
        <v>19/09/01</v>
      </c>
      <c r="D174" t="str">
        <f>"JEFFERSON"</f>
        <v>JEFFERSON</v>
      </c>
      <c r="E174" s="4">
        <v>29.79</v>
      </c>
      <c r="F174" s="4">
        <v>32.93</v>
      </c>
      <c r="G174" s="4">
        <v>385.52</v>
      </c>
    </row>
    <row r="175" spans="1:7" x14ac:dyDescent="0.2">
      <c r="A175" t="str">
        <f>"0416090927"</f>
        <v>0416090927</v>
      </c>
      <c r="B175" t="s">
        <v>140</v>
      </c>
      <c r="C175" t="str">
        <f t="shared" si="2"/>
        <v>19/09/01</v>
      </c>
      <c r="D175" t="str">
        <f>"MONROE"</f>
        <v>MONROE</v>
      </c>
      <c r="E175" s="4">
        <v>20.23</v>
      </c>
      <c r="F175" s="4">
        <v>25.66</v>
      </c>
      <c r="G175" s="4">
        <v>249.36</v>
      </c>
    </row>
    <row r="176" spans="1:7" x14ac:dyDescent="0.2">
      <c r="A176" t="str">
        <f>"0416090932"</f>
        <v>0416090932</v>
      </c>
      <c r="B176" t="s">
        <v>140</v>
      </c>
      <c r="C176" t="str">
        <f t="shared" si="2"/>
        <v>19/09/01</v>
      </c>
      <c r="D176" t="str">
        <f>"ONEIDA"</f>
        <v>ONEIDA</v>
      </c>
      <c r="E176" s="4">
        <v>29.79</v>
      </c>
      <c r="F176" s="4">
        <v>32.93</v>
      </c>
      <c r="G176" s="4">
        <v>385.52</v>
      </c>
    </row>
    <row r="177" spans="1:7" x14ac:dyDescent="0.2">
      <c r="A177" t="str">
        <f>"0416090933"</f>
        <v>0416090933</v>
      </c>
      <c r="B177" t="s">
        <v>140</v>
      </c>
      <c r="C177" t="str">
        <f t="shared" si="2"/>
        <v>19/09/01</v>
      </c>
      <c r="D177" t="str">
        <f>"ONONDAGA"</f>
        <v>ONONDAGA</v>
      </c>
      <c r="E177" s="4">
        <v>29.79</v>
      </c>
      <c r="F177" s="4">
        <v>32.93</v>
      </c>
      <c r="G177" s="4">
        <v>385.52</v>
      </c>
    </row>
    <row r="178" spans="1:7" x14ac:dyDescent="0.2">
      <c r="A178" t="str">
        <f>"0416090934"</f>
        <v>0416090934</v>
      </c>
      <c r="B178" t="s">
        <v>140</v>
      </c>
      <c r="C178" t="str">
        <f t="shared" si="2"/>
        <v>19/09/01</v>
      </c>
      <c r="D178" t="str">
        <f>"ONTARIO"</f>
        <v>ONTARIO</v>
      </c>
      <c r="E178" s="4">
        <v>20.329999999999998</v>
      </c>
      <c r="F178" s="4">
        <v>21.99</v>
      </c>
      <c r="G178" s="4">
        <v>378.04</v>
      </c>
    </row>
    <row r="179" spans="1:7" x14ac:dyDescent="0.2">
      <c r="A179" t="str">
        <f>"0416090941"</f>
        <v>0416090941</v>
      </c>
      <c r="B179" t="s">
        <v>140</v>
      </c>
      <c r="C179" t="str">
        <f t="shared" si="2"/>
        <v>19/09/01</v>
      </c>
      <c r="D179" t="str">
        <f>"RENSSELAER"</f>
        <v>RENSSELAER</v>
      </c>
      <c r="E179" s="4">
        <v>29.79</v>
      </c>
      <c r="F179" s="4">
        <v>32.93</v>
      </c>
      <c r="G179" s="4">
        <v>385.52</v>
      </c>
    </row>
    <row r="180" spans="1:7" x14ac:dyDescent="0.2">
      <c r="A180" t="str">
        <f>"0416090949"</f>
        <v>0416090949</v>
      </c>
      <c r="B180" t="s">
        <v>140</v>
      </c>
      <c r="C180" t="str">
        <f t="shared" si="2"/>
        <v>19/09/01</v>
      </c>
      <c r="D180" t="str">
        <f>"SENECA"</f>
        <v>SENECA</v>
      </c>
      <c r="E180" s="4">
        <v>29.79</v>
      </c>
      <c r="F180" s="4">
        <v>32.93</v>
      </c>
      <c r="G180" s="4">
        <v>385.52</v>
      </c>
    </row>
    <row r="181" spans="1:7" x14ac:dyDescent="0.2">
      <c r="A181" t="str">
        <f>"0416090944"</f>
        <v>0416090944</v>
      </c>
      <c r="B181" t="s">
        <v>140</v>
      </c>
      <c r="C181" t="str">
        <f t="shared" si="2"/>
        <v>19/09/01</v>
      </c>
      <c r="D181" t="str">
        <f>"ST LAWRENCE"</f>
        <v>ST LAWRENCE</v>
      </c>
      <c r="E181" s="4">
        <v>28.07</v>
      </c>
      <c r="F181" s="4">
        <v>31.21</v>
      </c>
      <c r="G181" s="4">
        <v>364.88</v>
      </c>
    </row>
    <row r="182" spans="1:7" x14ac:dyDescent="0.2">
      <c r="A182" t="str">
        <f>"0416090950"</f>
        <v>0416090950</v>
      </c>
      <c r="B182" t="s">
        <v>140</v>
      </c>
      <c r="C182" t="str">
        <f t="shared" si="2"/>
        <v>19/09/01</v>
      </c>
      <c r="D182" t="str">
        <f>"STEUBEN"</f>
        <v>STEUBEN</v>
      </c>
      <c r="E182" s="4">
        <v>29.79</v>
      </c>
      <c r="F182" s="4">
        <v>32.93</v>
      </c>
      <c r="G182" s="4">
        <v>385.52</v>
      </c>
    </row>
    <row r="183" spans="1:7" x14ac:dyDescent="0.2">
      <c r="A183" t="str">
        <f>"0416090958"</f>
        <v>0416090958</v>
      </c>
      <c r="B183" t="s">
        <v>140</v>
      </c>
      <c r="C183" t="str">
        <f t="shared" si="2"/>
        <v>19/09/01</v>
      </c>
      <c r="D183" t="str">
        <f>"WAYNE"</f>
        <v>WAYNE</v>
      </c>
      <c r="E183" s="4">
        <v>29.79</v>
      </c>
      <c r="F183" s="4">
        <v>32.93</v>
      </c>
      <c r="G183" s="4">
        <v>385.52</v>
      </c>
    </row>
    <row r="184" spans="1:7" x14ac:dyDescent="0.2">
      <c r="A184" t="str">
        <f>"0179472959"</f>
        <v>0179472959</v>
      </c>
      <c r="B184" t="s">
        <v>96</v>
      </c>
      <c r="C184" t="str">
        <f t="shared" si="2"/>
        <v>19/09/01</v>
      </c>
      <c r="D184" t="str">
        <f>"WESTCHESTER"</f>
        <v>WESTCHESTER</v>
      </c>
      <c r="E184" s="4">
        <v>23.37</v>
      </c>
      <c r="F184" s="4">
        <v>23.99</v>
      </c>
      <c r="G184" s="4">
        <v>290.13</v>
      </c>
    </row>
    <row r="185" spans="1:7" x14ac:dyDescent="0.2">
      <c r="A185" t="str">
        <f>"0035807645"</f>
        <v>0035807645</v>
      </c>
      <c r="B185" t="s">
        <v>8</v>
      </c>
      <c r="C185" t="str">
        <f t="shared" si="2"/>
        <v>19/09/01</v>
      </c>
      <c r="D185" t="str">
        <f>"SARATOGA"</f>
        <v>SARATOGA</v>
      </c>
      <c r="E185" s="4">
        <v>19</v>
      </c>
      <c r="F185" s="4">
        <v>19.73</v>
      </c>
      <c r="G185" s="4">
        <v>0</v>
      </c>
    </row>
    <row r="186" spans="1:7" x14ac:dyDescent="0.2">
      <c r="A186" t="str">
        <f>"0035807656"</f>
        <v>0035807656</v>
      </c>
      <c r="B186" t="s">
        <v>8</v>
      </c>
      <c r="C186" t="str">
        <f t="shared" si="2"/>
        <v>19/09/01</v>
      </c>
      <c r="D186" t="str">
        <f>"WARREN"</f>
        <v>WARREN</v>
      </c>
      <c r="E186" s="4">
        <v>18.8</v>
      </c>
      <c r="F186" s="4">
        <v>20.37</v>
      </c>
      <c r="G186" s="4">
        <v>0</v>
      </c>
    </row>
    <row r="187" spans="1:7" x14ac:dyDescent="0.2">
      <c r="A187" t="str">
        <f>"0035807657"</f>
        <v>0035807657</v>
      </c>
      <c r="B187" t="s">
        <v>8</v>
      </c>
      <c r="C187" t="str">
        <f t="shared" si="2"/>
        <v>19/09/01</v>
      </c>
      <c r="D187" t="str">
        <f>"WASHINGTON"</f>
        <v>WASHINGTON</v>
      </c>
      <c r="E187" s="4">
        <v>18.920000000000002</v>
      </c>
      <c r="F187" s="4">
        <v>0</v>
      </c>
      <c r="G187" s="4">
        <v>0</v>
      </c>
    </row>
    <row r="188" spans="1:7" x14ac:dyDescent="0.2">
      <c r="A188" t="str">
        <f>"0221745835"</f>
        <v>0221745835</v>
      </c>
      <c r="B188" t="s">
        <v>110</v>
      </c>
      <c r="C188" t="str">
        <f t="shared" si="2"/>
        <v>19/09/01</v>
      </c>
      <c r="D188" t="str">
        <f>"ORANGE"</f>
        <v>ORANGE</v>
      </c>
      <c r="E188" s="4">
        <v>19.73</v>
      </c>
      <c r="F188" s="4">
        <v>22.43</v>
      </c>
      <c r="G188" s="4">
        <v>253.67</v>
      </c>
    </row>
    <row r="189" spans="1:7" x14ac:dyDescent="0.2">
      <c r="A189" t="str">
        <f>"0221745843"</f>
        <v>0221745843</v>
      </c>
      <c r="B189" t="s">
        <v>111</v>
      </c>
      <c r="C189" t="str">
        <f t="shared" si="2"/>
        <v>19/09/01</v>
      </c>
      <c r="D189" t="str">
        <f>"ROCKLAND"</f>
        <v>ROCKLAND</v>
      </c>
      <c r="E189" s="4">
        <v>20.94</v>
      </c>
      <c r="F189" s="4">
        <v>23.74</v>
      </c>
      <c r="G189" s="4">
        <v>224.08</v>
      </c>
    </row>
    <row r="190" spans="1:7" x14ac:dyDescent="0.2">
      <c r="A190" t="str">
        <f>"0048715027"</f>
        <v>0048715027</v>
      </c>
      <c r="B190" t="s">
        <v>10</v>
      </c>
      <c r="C190" t="str">
        <f t="shared" si="2"/>
        <v>19/09/01</v>
      </c>
      <c r="D190" t="str">
        <f>"MONROE"</f>
        <v>MONROE</v>
      </c>
      <c r="E190" s="4">
        <v>0</v>
      </c>
      <c r="F190" s="4">
        <v>0</v>
      </c>
      <c r="G190" s="4">
        <v>0</v>
      </c>
    </row>
    <row r="191" spans="1:7" x14ac:dyDescent="0.2">
      <c r="A191" t="str">
        <f>"0035468729"</f>
        <v>0035468729</v>
      </c>
      <c r="B191" t="s">
        <v>5</v>
      </c>
      <c r="C191" t="str">
        <f t="shared" si="2"/>
        <v>19/09/01</v>
      </c>
      <c r="D191" t="str">
        <f>"NASSAU"</f>
        <v>NASSAU</v>
      </c>
      <c r="E191" s="4">
        <v>26.55</v>
      </c>
      <c r="F191" s="4">
        <v>27.39</v>
      </c>
      <c r="G191" s="4">
        <v>343.58</v>
      </c>
    </row>
    <row r="192" spans="1:7" x14ac:dyDescent="0.2">
      <c r="A192" t="str">
        <f>"0165664259"</f>
        <v>0165664259</v>
      </c>
      <c r="B192" t="s">
        <v>5</v>
      </c>
      <c r="C192" t="str">
        <f t="shared" si="2"/>
        <v>19/09/01</v>
      </c>
      <c r="D192" t="str">
        <f>"WESTCHESTER"</f>
        <v>WESTCHESTER</v>
      </c>
      <c r="E192" s="4">
        <v>26.78</v>
      </c>
      <c r="F192" s="4">
        <v>27.48</v>
      </c>
      <c r="G192" s="4">
        <v>343.2</v>
      </c>
    </row>
    <row r="193" spans="1:7" x14ac:dyDescent="0.2">
      <c r="A193" t="str">
        <f>"0199214914"</f>
        <v>0199214914</v>
      </c>
      <c r="B193" t="s">
        <v>103</v>
      </c>
      <c r="C193" t="str">
        <f t="shared" si="2"/>
        <v>19/09/01</v>
      </c>
      <c r="D193" t="str">
        <f>"ERIE"</f>
        <v>ERIE</v>
      </c>
      <c r="E193" s="4">
        <v>22.03</v>
      </c>
      <c r="F193" s="4">
        <v>24.97</v>
      </c>
      <c r="G193" s="4">
        <v>272.39999999999998</v>
      </c>
    </row>
    <row r="194" spans="1:7" x14ac:dyDescent="0.2">
      <c r="A194" t="str">
        <f>"0199214931"</f>
        <v>0199214931</v>
      </c>
      <c r="B194" t="s">
        <v>103</v>
      </c>
      <c r="C194" t="str">
        <f t="shared" si="2"/>
        <v>19/09/01</v>
      </c>
      <c r="D194" t="str">
        <f>"NIAGARA"</f>
        <v>NIAGARA</v>
      </c>
      <c r="E194" s="4">
        <v>24.03</v>
      </c>
      <c r="F194" s="4">
        <v>24.04</v>
      </c>
      <c r="G194" s="4">
        <v>268.97000000000003</v>
      </c>
    </row>
    <row r="195" spans="1:7" x14ac:dyDescent="0.2">
      <c r="A195" t="str">
        <f>"0095367744"</f>
        <v>0095367744</v>
      </c>
      <c r="B195" t="s">
        <v>38</v>
      </c>
      <c r="C195" t="str">
        <f t="shared" si="2"/>
        <v>19/09/01</v>
      </c>
      <c r="D195" t="str">
        <f>"ST LAWRENCE"</f>
        <v>ST LAWRENCE</v>
      </c>
      <c r="E195" s="4">
        <v>0</v>
      </c>
      <c r="F195" s="4">
        <v>0</v>
      </c>
      <c r="G195" s="4">
        <v>0</v>
      </c>
    </row>
    <row r="196" spans="1:7" x14ac:dyDescent="0.2">
      <c r="A196" t="str">
        <f>"0081865329"</f>
        <v>0081865329</v>
      </c>
      <c r="B196" t="s">
        <v>26</v>
      </c>
      <c r="C196" t="str">
        <f t="shared" si="2"/>
        <v>19/09/01</v>
      </c>
      <c r="D196" t="str">
        <f>"NASSAU"</f>
        <v>NASSAU</v>
      </c>
      <c r="E196" s="4">
        <v>23.1</v>
      </c>
      <c r="F196" s="4">
        <v>0</v>
      </c>
      <c r="G196" s="4">
        <v>267.35000000000002</v>
      </c>
    </row>
    <row r="197" spans="1:7" x14ac:dyDescent="0.2">
      <c r="A197" t="str">
        <f>"0081865351"</f>
        <v>0081865351</v>
      </c>
      <c r="B197" t="s">
        <v>26</v>
      </c>
      <c r="C197" t="str">
        <f t="shared" si="2"/>
        <v>19/09/01</v>
      </c>
      <c r="D197" t="str">
        <f>"SUFFOLK"</f>
        <v>SUFFOLK</v>
      </c>
      <c r="E197" s="4">
        <v>23.47</v>
      </c>
      <c r="F197" s="4">
        <v>0</v>
      </c>
      <c r="G197" s="4">
        <v>267.27999999999997</v>
      </c>
    </row>
    <row r="198" spans="1:7" x14ac:dyDescent="0.2">
      <c r="A198" t="str">
        <f>"0417491625"</f>
        <v>0417491625</v>
      </c>
      <c r="B198" t="s">
        <v>175</v>
      </c>
      <c r="C198" t="str">
        <f t="shared" ref="C198:C261" si="3">"19/09/01"</f>
        <v>19/09/01</v>
      </c>
      <c r="D198" t="str">
        <f>"LIVINGSTON"</f>
        <v>LIVINGSTON</v>
      </c>
      <c r="E198" s="4">
        <v>26.99</v>
      </c>
      <c r="F198" s="4">
        <v>28.58</v>
      </c>
      <c r="G198" s="4">
        <v>171.6</v>
      </c>
    </row>
    <row r="199" spans="1:7" x14ac:dyDescent="0.2">
      <c r="A199" t="str">
        <f>"0417491614"</f>
        <v>0417491614</v>
      </c>
      <c r="B199" t="s">
        <v>142</v>
      </c>
      <c r="C199" t="str">
        <f t="shared" si="3"/>
        <v>19/09/01</v>
      </c>
      <c r="D199" t="str">
        <f>"ERIE"</f>
        <v>ERIE</v>
      </c>
      <c r="E199" s="4">
        <v>26.99</v>
      </c>
      <c r="F199" s="4">
        <v>28.58</v>
      </c>
      <c r="G199" s="4">
        <v>171.6</v>
      </c>
    </row>
    <row r="200" spans="1:7" x14ac:dyDescent="0.2">
      <c r="A200" t="str">
        <f>"0417491618"</f>
        <v>0417491618</v>
      </c>
      <c r="B200" t="s">
        <v>142</v>
      </c>
      <c r="C200" t="str">
        <f t="shared" si="3"/>
        <v>19/09/01</v>
      </c>
      <c r="D200" t="str">
        <f>"GENESEE"</f>
        <v>GENESEE</v>
      </c>
      <c r="E200" s="4">
        <v>26.99</v>
      </c>
      <c r="F200" s="4">
        <v>28.58</v>
      </c>
      <c r="G200" s="4">
        <v>171.6</v>
      </c>
    </row>
    <row r="201" spans="1:7" x14ac:dyDescent="0.2">
      <c r="A201" t="str">
        <f>"0417491627"</f>
        <v>0417491627</v>
      </c>
      <c r="B201" t="s">
        <v>142</v>
      </c>
      <c r="C201" t="str">
        <f t="shared" si="3"/>
        <v>19/09/01</v>
      </c>
      <c r="D201" t="str">
        <f>"MONROE"</f>
        <v>MONROE</v>
      </c>
      <c r="E201" s="4">
        <v>20.010000000000002</v>
      </c>
      <c r="F201" s="4">
        <v>0</v>
      </c>
      <c r="G201" s="4">
        <v>0</v>
      </c>
    </row>
    <row r="202" spans="1:7" x14ac:dyDescent="0.2">
      <c r="A202" t="str">
        <f>"0417491631"</f>
        <v>0417491631</v>
      </c>
      <c r="B202" t="s">
        <v>142</v>
      </c>
      <c r="C202" t="str">
        <f t="shared" si="3"/>
        <v>19/09/01</v>
      </c>
      <c r="D202" t="str">
        <f>"NIAGARA"</f>
        <v>NIAGARA</v>
      </c>
      <c r="E202" s="4">
        <v>26.99</v>
      </c>
      <c r="F202" s="4">
        <v>28.58</v>
      </c>
      <c r="G202" s="4">
        <v>171.6</v>
      </c>
    </row>
    <row r="203" spans="1:7" x14ac:dyDescent="0.2">
      <c r="A203" t="str">
        <f>"0417491634"</f>
        <v>0417491634</v>
      </c>
      <c r="B203" t="s">
        <v>142</v>
      </c>
      <c r="C203" t="str">
        <f t="shared" si="3"/>
        <v>19/09/01</v>
      </c>
      <c r="D203" t="str">
        <f>"ONTARIO"</f>
        <v>ONTARIO</v>
      </c>
      <c r="E203" s="4">
        <v>26.99</v>
      </c>
      <c r="F203" s="4">
        <v>28.58</v>
      </c>
      <c r="G203" s="4">
        <v>171.6</v>
      </c>
    </row>
    <row r="204" spans="1:7" x14ac:dyDescent="0.2">
      <c r="A204" t="str">
        <f>"0449064403"</f>
        <v>0449064403</v>
      </c>
      <c r="B204" t="s">
        <v>151</v>
      </c>
      <c r="C204" t="str">
        <f t="shared" si="3"/>
        <v>19/09/01</v>
      </c>
      <c r="D204" t="str">
        <f>"BROOME"</f>
        <v>BROOME</v>
      </c>
      <c r="E204" s="4">
        <v>0</v>
      </c>
      <c r="F204" s="4">
        <v>0</v>
      </c>
      <c r="G204" s="4">
        <v>0</v>
      </c>
    </row>
    <row r="205" spans="1:7" x14ac:dyDescent="0.2">
      <c r="A205" t="str">
        <f>"0179895235"</f>
        <v>0179895235</v>
      </c>
      <c r="B205" t="s">
        <v>99</v>
      </c>
      <c r="C205" t="str">
        <f t="shared" si="3"/>
        <v>19/09/01</v>
      </c>
      <c r="D205" t="str">
        <f>"ORANGE"</f>
        <v>ORANGE</v>
      </c>
      <c r="E205" s="4">
        <v>21.47</v>
      </c>
      <c r="F205" s="4">
        <v>23.05</v>
      </c>
      <c r="G205" s="4">
        <v>47.64</v>
      </c>
    </row>
    <row r="206" spans="1:7" x14ac:dyDescent="0.2">
      <c r="A206" t="str">
        <f>"0091624350"</f>
        <v>0091624350</v>
      </c>
      <c r="B206" t="s">
        <v>35</v>
      </c>
      <c r="C206" t="str">
        <f t="shared" si="3"/>
        <v>19/09/01</v>
      </c>
      <c r="D206" t="str">
        <f>"STEUBEN"</f>
        <v>STEUBEN</v>
      </c>
      <c r="E206" s="4">
        <v>24.88</v>
      </c>
      <c r="F206" s="4">
        <v>26.45</v>
      </c>
      <c r="G206" s="4">
        <v>291.54000000000002</v>
      </c>
    </row>
    <row r="207" spans="1:7" x14ac:dyDescent="0.2">
      <c r="A207" t="str">
        <f>"0058802326"</f>
        <v>0058802326</v>
      </c>
      <c r="B207" t="s">
        <v>17</v>
      </c>
      <c r="C207" t="str">
        <f t="shared" si="3"/>
        <v>19/09/01</v>
      </c>
      <c r="D207" t="str">
        <f>"MADISON"</f>
        <v>MADISON</v>
      </c>
      <c r="E207" s="4">
        <v>0</v>
      </c>
      <c r="F207" s="4">
        <v>0</v>
      </c>
      <c r="G207" s="4">
        <v>0</v>
      </c>
    </row>
    <row r="208" spans="1:7" x14ac:dyDescent="0.2">
      <c r="A208" t="str">
        <f>"0058802333"</f>
        <v>0058802333</v>
      </c>
      <c r="B208" t="s">
        <v>18</v>
      </c>
      <c r="C208" t="str">
        <f t="shared" si="3"/>
        <v>19/09/01</v>
      </c>
      <c r="D208" t="str">
        <f>"ONONDAGA"</f>
        <v>ONONDAGA</v>
      </c>
      <c r="E208" s="4">
        <v>0</v>
      </c>
      <c r="F208" s="4">
        <v>0</v>
      </c>
      <c r="G208" s="4">
        <v>0</v>
      </c>
    </row>
    <row r="209" spans="1:7" x14ac:dyDescent="0.2">
      <c r="A209" t="str">
        <f>"0058802337"</f>
        <v>0058802337</v>
      </c>
      <c r="B209" t="s">
        <v>18</v>
      </c>
      <c r="C209" t="str">
        <f t="shared" si="3"/>
        <v>19/09/01</v>
      </c>
      <c r="D209" t="str">
        <f>"OSWEGO"</f>
        <v>OSWEGO</v>
      </c>
      <c r="E209" s="4">
        <v>0</v>
      </c>
      <c r="F209" s="4">
        <v>0</v>
      </c>
      <c r="G209" s="4">
        <v>0</v>
      </c>
    </row>
    <row r="210" spans="1:7" x14ac:dyDescent="0.2">
      <c r="A210" t="str">
        <f>"0116304213"</f>
        <v>0116304213</v>
      </c>
      <c r="B210" t="s">
        <v>57</v>
      </c>
      <c r="C210" t="str">
        <f t="shared" si="3"/>
        <v>19/09/01</v>
      </c>
      <c r="D210" t="str">
        <f>"DUTCHESS"</f>
        <v>DUTCHESS</v>
      </c>
      <c r="E210" s="4">
        <v>20.329999999999998</v>
      </c>
      <c r="F210" s="4">
        <v>21.91</v>
      </c>
      <c r="G210" s="4">
        <v>242.32</v>
      </c>
    </row>
    <row r="211" spans="1:7" x14ac:dyDescent="0.2">
      <c r="A211" t="str">
        <f>"0116304255"</f>
        <v>0116304255</v>
      </c>
      <c r="B211" t="s">
        <v>57</v>
      </c>
      <c r="C211" t="str">
        <f t="shared" si="3"/>
        <v>19/09/01</v>
      </c>
      <c r="D211" t="str">
        <f>"ULSTER"</f>
        <v>ULSTER</v>
      </c>
      <c r="E211" s="4">
        <v>19.920000000000002</v>
      </c>
      <c r="F211" s="4">
        <v>21.5</v>
      </c>
      <c r="G211" s="4">
        <v>242.44</v>
      </c>
    </row>
    <row r="212" spans="1:7" x14ac:dyDescent="0.2">
      <c r="A212" t="str">
        <f>"0054665859"</f>
        <v>0054665859</v>
      </c>
      <c r="B212" t="s">
        <v>13</v>
      </c>
      <c r="C212" t="str">
        <f t="shared" si="3"/>
        <v>19/09/01</v>
      </c>
      <c r="D212" t="str">
        <f>"WESTCHESTER"</f>
        <v>WESTCHESTER</v>
      </c>
      <c r="E212" s="4">
        <v>21.97</v>
      </c>
      <c r="F212" s="4">
        <v>0</v>
      </c>
      <c r="G212" s="4">
        <v>0</v>
      </c>
    </row>
    <row r="213" spans="1:7" x14ac:dyDescent="0.2">
      <c r="A213" t="str">
        <f>"0417496151"</f>
        <v>0417496151</v>
      </c>
      <c r="B213" t="s">
        <v>143</v>
      </c>
      <c r="C213" t="str">
        <f t="shared" si="3"/>
        <v>19/09/01</v>
      </c>
      <c r="D213" t="str">
        <f>"SUFFOLK"</f>
        <v>SUFFOLK</v>
      </c>
      <c r="E213" s="4">
        <v>28.57</v>
      </c>
      <c r="F213" s="4">
        <v>28.45</v>
      </c>
      <c r="G213" s="4">
        <v>344.73</v>
      </c>
    </row>
    <row r="214" spans="1:7" x14ac:dyDescent="0.2">
      <c r="A214" t="str">
        <f>"0099144203"</f>
        <v>0099144203</v>
      </c>
      <c r="B214" t="s">
        <v>43</v>
      </c>
      <c r="C214" t="str">
        <f t="shared" si="3"/>
        <v>19/09/01</v>
      </c>
      <c r="D214" t="str">
        <f>"BROOME"</f>
        <v>BROOME</v>
      </c>
      <c r="E214" s="4">
        <v>0</v>
      </c>
      <c r="F214" s="4">
        <v>0</v>
      </c>
      <c r="G214" s="4">
        <v>0</v>
      </c>
    </row>
    <row r="215" spans="1:7" x14ac:dyDescent="0.2">
      <c r="A215" t="str">
        <f>"0092127932"</f>
        <v>0092127932</v>
      </c>
      <c r="B215" t="s">
        <v>36</v>
      </c>
      <c r="C215" t="str">
        <f t="shared" si="3"/>
        <v>19/09/01</v>
      </c>
      <c r="D215" t="str">
        <f>"ONEIDA"</f>
        <v>ONEIDA</v>
      </c>
      <c r="E215" s="4">
        <v>0</v>
      </c>
      <c r="F215" s="4">
        <v>0</v>
      </c>
      <c r="G215" s="4">
        <v>0</v>
      </c>
    </row>
    <row r="216" spans="1:7" x14ac:dyDescent="0.2">
      <c r="A216" t="str">
        <f>"0080671706"</f>
        <v>0080671706</v>
      </c>
      <c r="B216" t="s">
        <v>23</v>
      </c>
      <c r="C216" t="str">
        <f t="shared" si="3"/>
        <v>19/09/01</v>
      </c>
      <c r="D216" t="str">
        <f>"CHAUTAUQUA"</f>
        <v>CHAUTAUQUA</v>
      </c>
      <c r="E216" s="4">
        <v>0</v>
      </c>
      <c r="F216" s="4">
        <v>0</v>
      </c>
      <c r="G216" s="4">
        <v>0</v>
      </c>
    </row>
    <row r="217" spans="1:7" x14ac:dyDescent="0.2">
      <c r="A217" t="str">
        <f>"0080671707"</f>
        <v>0080671707</v>
      </c>
      <c r="B217" t="s">
        <v>23</v>
      </c>
      <c r="C217" t="str">
        <f t="shared" si="3"/>
        <v>19/09/01</v>
      </c>
      <c r="D217" t="str">
        <f>"CHEMUNG"</f>
        <v>CHEMUNG</v>
      </c>
      <c r="E217" s="4">
        <v>0</v>
      </c>
      <c r="F217" s="4">
        <v>0</v>
      </c>
      <c r="G217" s="4">
        <v>0</v>
      </c>
    </row>
    <row r="218" spans="1:7" x14ac:dyDescent="0.2">
      <c r="A218" t="str">
        <f>"0080671714"</f>
        <v>0080671714</v>
      </c>
      <c r="B218" t="s">
        <v>23</v>
      </c>
      <c r="C218" t="str">
        <f t="shared" si="3"/>
        <v>19/09/01</v>
      </c>
      <c r="D218" t="str">
        <f>"ERIE"</f>
        <v>ERIE</v>
      </c>
      <c r="E218" s="4">
        <v>0</v>
      </c>
      <c r="F218" s="4">
        <v>0</v>
      </c>
      <c r="G218" s="4">
        <v>0</v>
      </c>
    </row>
    <row r="219" spans="1:7" x14ac:dyDescent="0.2">
      <c r="A219" t="str">
        <f>"0080671716"</f>
        <v>0080671716</v>
      </c>
      <c r="B219" t="s">
        <v>23</v>
      </c>
      <c r="C219" t="str">
        <f t="shared" si="3"/>
        <v>19/09/01</v>
      </c>
      <c r="D219" t="str">
        <f>"FRANKLIN"</f>
        <v>FRANKLIN</v>
      </c>
      <c r="E219" s="4">
        <v>0</v>
      </c>
      <c r="F219" s="4">
        <v>0</v>
      </c>
      <c r="G219" s="4">
        <v>0</v>
      </c>
    </row>
    <row r="220" spans="1:7" x14ac:dyDescent="0.2">
      <c r="A220" t="str">
        <f>"0080671722"</f>
        <v>0080671722</v>
      </c>
      <c r="B220" t="s">
        <v>23</v>
      </c>
      <c r="C220" t="str">
        <f t="shared" si="3"/>
        <v>19/09/01</v>
      </c>
      <c r="D220" t="str">
        <f>"JEFFERSON"</f>
        <v>JEFFERSON</v>
      </c>
      <c r="E220" s="4">
        <v>0</v>
      </c>
      <c r="F220" s="4">
        <v>0</v>
      </c>
      <c r="G220" s="4">
        <v>0</v>
      </c>
    </row>
    <row r="221" spans="1:7" x14ac:dyDescent="0.2">
      <c r="A221" t="str">
        <f>"0080671744"</f>
        <v>0080671744</v>
      </c>
      <c r="B221" t="s">
        <v>23</v>
      </c>
      <c r="C221" t="str">
        <f t="shared" si="3"/>
        <v>19/09/01</v>
      </c>
      <c r="D221" t="str">
        <f>"ST LAWRENCE"</f>
        <v>ST LAWRENCE</v>
      </c>
      <c r="E221" s="4">
        <v>0</v>
      </c>
      <c r="F221" s="4">
        <v>0</v>
      </c>
      <c r="G221" s="4">
        <v>0</v>
      </c>
    </row>
    <row r="222" spans="1:7" x14ac:dyDescent="0.2">
      <c r="A222" t="str">
        <f>"0080671754"</f>
        <v>0080671754</v>
      </c>
      <c r="B222" t="s">
        <v>23</v>
      </c>
      <c r="C222" t="str">
        <f t="shared" si="3"/>
        <v>19/09/01</v>
      </c>
      <c r="D222" t="str">
        <f>"TOMPKINS"</f>
        <v>TOMPKINS</v>
      </c>
      <c r="E222" s="4">
        <v>0</v>
      </c>
      <c r="F222" s="4">
        <v>0</v>
      </c>
      <c r="G222" s="4">
        <v>0</v>
      </c>
    </row>
    <row r="223" spans="1:7" x14ac:dyDescent="0.2">
      <c r="A223" t="str">
        <f>"0094476113"</f>
        <v>0094476113</v>
      </c>
      <c r="B223" t="s">
        <v>37</v>
      </c>
      <c r="C223" t="str">
        <f t="shared" si="3"/>
        <v>19/09/01</v>
      </c>
      <c r="D223" t="str">
        <f>"DUTCHESS"</f>
        <v>DUTCHESS</v>
      </c>
      <c r="E223" s="4">
        <v>0</v>
      </c>
      <c r="F223" s="4">
        <v>0</v>
      </c>
      <c r="G223" s="4">
        <v>0</v>
      </c>
    </row>
    <row r="224" spans="1:7" x14ac:dyDescent="0.2">
      <c r="A224" t="str">
        <f>"0094476155"</f>
        <v>0094476155</v>
      </c>
      <c r="B224" t="s">
        <v>37</v>
      </c>
      <c r="C224" t="str">
        <f t="shared" si="3"/>
        <v>19/09/01</v>
      </c>
      <c r="D224" t="str">
        <f>"ULSTER"</f>
        <v>ULSTER</v>
      </c>
      <c r="E224" s="4">
        <v>0</v>
      </c>
      <c r="F224" s="4">
        <v>0</v>
      </c>
      <c r="G224" s="4">
        <v>0</v>
      </c>
    </row>
    <row r="225" spans="1:7" x14ac:dyDescent="0.2">
      <c r="A225" t="str">
        <f>"0324945613"</f>
        <v>0324945613</v>
      </c>
      <c r="B225" t="s">
        <v>130</v>
      </c>
      <c r="C225" t="str">
        <f t="shared" si="3"/>
        <v>19/09/01</v>
      </c>
      <c r="D225" t="str">
        <f>"DUTCHESS"</f>
        <v>DUTCHESS</v>
      </c>
      <c r="E225" s="4">
        <v>18.37</v>
      </c>
      <c r="F225" s="4">
        <v>0</v>
      </c>
      <c r="G225" s="4">
        <v>243.65</v>
      </c>
    </row>
    <row r="226" spans="1:7" x14ac:dyDescent="0.2">
      <c r="A226" t="str">
        <f>"0324945635"</f>
        <v>0324945635</v>
      </c>
      <c r="B226" t="s">
        <v>130</v>
      </c>
      <c r="C226" t="str">
        <f t="shared" si="3"/>
        <v>19/09/01</v>
      </c>
      <c r="D226" t="str">
        <f>"ORANGE"</f>
        <v>ORANGE</v>
      </c>
      <c r="E226" s="4">
        <v>18.399999999999999</v>
      </c>
      <c r="F226" s="4">
        <v>0</v>
      </c>
      <c r="G226" s="4">
        <v>220.61</v>
      </c>
    </row>
    <row r="227" spans="1:7" x14ac:dyDescent="0.2">
      <c r="A227" t="str">
        <f>"0324945652"</f>
        <v>0324945652</v>
      </c>
      <c r="B227" t="s">
        <v>130</v>
      </c>
      <c r="C227" t="str">
        <f t="shared" si="3"/>
        <v>19/09/01</v>
      </c>
      <c r="D227" t="str">
        <f>"SULLIVAN"</f>
        <v>SULLIVAN</v>
      </c>
      <c r="E227" s="4">
        <v>18.37</v>
      </c>
      <c r="F227" s="4">
        <v>21.05</v>
      </c>
      <c r="G227" s="4">
        <v>0</v>
      </c>
    </row>
    <row r="228" spans="1:7" x14ac:dyDescent="0.2">
      <c r="A228" t="str">
        <f>"0163101641"</f>
        <v>0163101641</v>
      </c>
      <c r="B228" t="s">
        <v>77</v>
      </c>
      <c r="C228" t="str">
        <f t="shared" si="3"/>
        <v>19/09/01</v>
      </c>
      <c r="D228" t="str">
        <f>"RENSSELAER"</f>
        <v>RENSSELAER</v>
      </c>
      <c r="E228" s="4">
        <v>17.239999999999998</v>
      </c>
      <c r="F228" s="4">
        <v>17.54</v>
      </c>
      <c r="G228" s="4">
        <v>0</v>
      </c>
    </row>
    <row r="229" spans="1:7" x14ac:dyDescent="0.2">
      <c r="A229" t="str">
        <f>"0059035403"</f>
        <v>0059035403</v>
      </c>
      <c r="B229" t="s">
        <v>20</v>
      </c>
      <c r="C229" t="str">
        <f t="shared" si="3"/>
        <v>19/09/01</v>
      </c>
      <c r="D229" t="str">
        <f>"BROOME"</f>
        <v>BROOME</v>
      </c>
      <c r="E229" s="4">
        <v>23.46</v>
      </c>
      <c r="F229" s="4">
        <v>25.59</v>
      </c>
      <c r="G229" s="4">
        <v>268.29000000000002</v>
      </c>
    </row>
    <row r="230" spans="1:7" x14ac:dyDescent="0.2">
      <c r="A230" t="str">
        <f>"0059035453"</f>
        <v>0059035453</v>
      </c>
      <c r="B230" t="s">
        <v>20</v>
      </c>
      <c r="C230" t="str">
        <f t="shared" si="3"/>
        <v>19/09/01</v>
      </c>
      <c r="D230" t="str">
        <f>"TIOGA"</f>
        <v>TIOGA</v>
      </c>
      <c r="E230" s="4">
        <v>23.42</v>
      </c>
      <c r="F230" s="4">
        <v>25.56</v>
      </c>
      <c r="G230" s="4">
        <v>267.58</v>
      </c>
    </row>
    <row r="231" spans="1:7" x14ac:dyDescent="0.2">
      <c r="A231" t="str">
        <f>"0058800533"</f>
        <v>0058800533</v>
      </c>
      <c r="B231" t="s">
        <v>16</v>
      </c>
      <c r="C231" t="str">
        <f t="shared" si="3"/>
        <v>19/09/01</v>
      </c>
      <c r="D231" t="str">
        <f>"ONONDAGA"</f>
        <v>ONONDAGA</v>
      </c>
      <c r="E231" s="4">
        <v>23.54</v>
      </c>
      <c r="F231" s="4">
        <v>25.67</v>
      </c>
      <c r="G231" s="4">
        <v>268.38</v>
      </c>
    </row>
    <row r="232" spans="1:7" x14ac:dyDescent="0.2">
      <c r="A232" t="str">
        <f>"0167928559"</f>
        <v>0167928559</v>
      </c>
      <c r="B232" t="s">
        <v>82</v>
      </c>
      <c r="C232" t="str">
        <f t="shared" si="3"/>
        <v>19/09/01</v>
      </c>
      <c r="D232" t="str">
        <f>"WESTCHESTER"</f>
        <v>WESTCHESTER</v>
      </c>
      <c r="E232" s="4">
        <v>0</v>
      </c>
      <c r="F232" s="4">
        <v>0</v>
      </c>
      <c r="G232" s="4">
        <v>0</v>
      </c>
    </row>
    <row r="233" spans="1:7" x14ac:dyDescent="0.2">
      <c r="A233" t="str">
        <f>"0177190243"</f>
        <v>0177190243</v>
      </c>
      <c r="B233" t="s">
        <v>92</v>
      </c>
      <c r="C233" t="str">
        <f t="shared" si="3"/>
        <v>19/09/01</v>
      </c>
      <c r="D233" t="str">
        <f>"ROCKLAND"</f>
        <v>ROCKLAND</v>
      </c>
      <c r="E233" s="4">
        <v>22.23</v>
      </c>
      <c r="F233" s="4">
        <v>0</v>
      </c>
      <c r="G233" s="4">
        <v>0</v>
      </c>
    </row>
    <row r="234" spans="1:7" x14ac:dyDescent="0.2">
      <c r="A234" t="str">
        <f>"0150897429"</f>
        <v>0150897429</v>
      </c>
      <c r="B234" t="s">
        <v>74</v>
      </c>
      <c r="C234" t="str">
        <f t="shared" si="3"/>
        <v>19/09/01</v>
      </c>
      <c r="D234" t="str">
        <f>"NASSAU"</f>
        <v>NASSAU</v>
      </c>
      <c r="E234" s="4">
        <v>24.24</v>
      </c>
      <c r="F234" s="4">
        <v>27.86</v>
      </c>
      <c r="G234" s="4">
        <v>360.54</v>
      </c>
    </row>
    <row r="235" spans="1:7" x14ac:dyDescent="0.2">
      <c r="A235" t="str">
        <f>"0150897451"</f>
        <v>0150897451</v>
      </c>
      <c r="B235" t="s">
        <v>74</v>
      </c>
      <c r="C235" t="str">
        <f t="shared" si="3"/>
        <v>19/09/01</v>
      </c>
      <c r="D235" t="str">
        <f>"SUFFOLK"</f>
        <v>SUFFOLK</v>
      </c>
      <c r="E235" s="4">
        <v>22.82</v>
      </c>
      <c r="F235" s="4">
        <v>28.52</v>
      </c>
      <c r="G235" s="4">
        <v>368.85</v>
      </c>
    </row>
    <row r="236" spans="1:7" x14ac:dyDescent="0.2">
      <c r="A236" t="str">
        <f>"0091059013"</f>
        <v>0091059013</v>
      </c>
      <c r="B236" t="s">
        <v>161</v>
      </c>
      <c r="C236" t="str">
        <f t="shared" si="3"/>
        <v>19/09/01</v>
      </c>
      <c r="D236" t="str">
        <f>"DUTCHESS"</f>
        <v>DUTCHESS</v>
      </c>
      <c r="E236" s="4">
        <v>20.07</v>
      </c>
      <c r="F236" s="4">
        <v>22.54</v>
      </c>
      <c r="G236" s="4">
        <v>259.95</v>
      </c>
    </row>
    <row r="237" spans="1:7" x14ac:dyDescent="0.2">
      <c r="A237" t="str">
        <f>"0091059035"</f>
        <v>0091059035</v>
      </c>
      <c r="B237" t="s">
        <v>161</v>
      </c>
      <c r="C237" t="str">
        <f t="shared" si="3"/>
        <v>19/09/01</v>
      </c>
      <c r="D237" t="str">
        <f>"ORANGE"</f>
        <v>ORANGE</v>
      </c>
      <c r="E237" s="4">
        <v>19.57</v>
      </c>
      <c r="F237" s="4">
        <v>22.24</v>
      </c>
      <c r="G237" s="4">
        <v>255.6</v>
      </c>
    </row>
    <row r="238" spans="1:7" x14ac:dyDescent="0.2">
      <c r="A238" t="str">
        <f>"0091059052"</f>
        <v>0091059052</v>
      </c>
      <c r="B238" t="s">
        <v>161</v>
      </c>
      <c r="C238" t="str">
        <f t="shared" si="3"/>
        <v>19/09/01</v>
      </c>
      <c r="D238" t="str">
        <f>"SULLIVAN"</f>
        <v>SULLIVAN</v>
      </c>
      <c r="E238" s="4">
        <v>20.09</v>
      </c>
      <c r="F238" s="4">
        <v>22.78</v>
      </c>
      <c r="G238" s="4">
        <v>262.68</v>
      </c>
    </row>
    <row r="239" spans="1:7" x14ac:dyDescent="0.2">
      <c r="A239" t="str">
        <f>"0091059055"</f>
        <v>0091059055</v>
      </c>
      <c r="B239" t="s">
        <v>161</v>
      </c>
      <c r="C239" t="str">
        <f t="shared" si="3"/>
        <v>19/09/01</v>
      </c>
      <c r="D239" t="str">
        <f>"ULSTER"</f>
        <v>ULSTER</v>
      </c>
      <c r="E239" s="4">
        <v>19.690000000000001</v>
      </c>
      <c r="F239" s="4">
        <v>22.55</v>
      </c>
      <c r="G239" s="4">
        <v>260.05</v>
      </c>
    </row>
    <row r="240" spans="1:7" x14ac:dyDescent="0.2">
      <c r="A240" t="str">
        <f>"0217285601"</f>
        <v>0217285601</v>
      </c>
      <c r="B240" t="s">
        <v>109</v>
      </c>
      <c r="C240" t="str">
        <f t="shared" si="3"/>
        <v>19/09/01</v>
      </c>
      <c r="D240" t="str">
        <f>"ALBANY"</f>
        <v>ALBANY</v>
      </c>
      <c r="E240" s="4">
        <v>0</v>
      </c>
      <c r="F240" s="4">
        <v>0</v>
      </c>
      <c r="G240" s="4">
        <v>0</v>
      </c>
    </row>
    <row r="241" spans="1:7" x14ac:dyDescent="0.2">
      <c r="A241" t="str">
        <f>"0217285641"</f>
        <v>0217285641</v>
      </c>
      <c r="B241" t="s">
        <v>109</v>
      </c>
      <c r="C241" t="str">
        <f t="shared" si="3"/>
        <v>19/09/01</v>
      </c>
      <c r="D241" t="str">
        <f>"RENSSELAER"</f>
        <v>RENSSELAER</v>
      </c>
      <c r="E241" s="4">
        <v>0</v>
      </c>
      <c r="F241" s="4">
        <v>0</v>
      </c>
      <c r="G241" s="4">
        <v>0</v>
      </c>
    </row>
    <row r="242" spans="1:7" x14ac:dyDescent="0.2">
      <c r="A242" t="str">
        <f>"0217285645"</f>
        <v>0217285645</v>
      </c>
      <c r="B242" t="s">
        <v>109</v>
      </c>
      <c r="C242" t="str">
        <f t="shared" si="3"/>
        <v>19/09/01</v>
      </c>
      <c r="D242" t="str">
        <f>"SARATOGA"</f>
        <v>SARATOGA</v>
      </c>
      <c r="E242" s="4">
        <v>0</v>
      </c>
      <c r="F242" s="4">
        <v>0</v>
      </c>
      <c r="G242" s="4">
        <v>0</v>
      </c>
    </row>
    <row r="243" spans="1:7" x14ac:dyDescent="0.2">
      <c r="A243" t="str">
        <f>"0217285646"</f>
        <v>0217285646</v>
      </c>
      <c r="B243" t="s">
        <v>109</v>
      </c>
      <c r="C243" t="str">
        <f t="shared" si="3"/>
        <v>19/09/01</v>
      </c>
      <c r="D243" t="str">
        <f>"SCHENECTADY"</f>
        <v>SCHENECTADY</v>
      </c>
      <c r="E243" s="4">
        <v>0</v>
      </c>
      <c r="F243" s="4">
        <v>0</v>
      </c>
      <c r="G243" s="4">
        <v>0</v>
      </c>
    </row>
    <row r="244" spans="1:7" x14ac:dyDescent="0.2">
      <c r="A244" t="str">
        <f>"0144435729"</f>
        <v>0144435729</v>
      </c>
      <c r="B244" t="s">
        <v>68</v>
      </c>
      <c r="C244" t="str">
        <f t="shared" si="3"/>
        <v>19/09/01</v>
      </c>
      <c r="D244" t="str">
        <f>"NASSAU"</f>
        <v>NASSAU</v>
      </c>
      <c r="E244" s="4">
        <v>24.74</v>
      </c>
      <c r="F244" s="4">
        <v>25.25</v>
      </c>
      <c r="G244" s="4">
        <v>298.88</v>
      </c>
    </row>
    <row r="245" spans="1:7" x14ac:dyDescent="0.2">
      <c r="A245" t="str">
        <f>"0179473829"</f>
        <v>0179473829</v>
      </c>
      <c r="B245" t="s">
        <v>97</v>
      </c>
      <c r="C245" t="str">
        <f t="shared" si="3"/>
        <v>19/09/01</v>
      </c>
      <c r="D245" t="str">
        <f>"NASSAU"</f>
        <v>NASSAU</v>
      </c>
      <c r="E245" s="4">
        <v>22.3</v>
      </c>
      <c r="F245" s="4">
        <v>26.93</v>
      </c>
      <c r="G245" s="4">
        <v>287.38</v>
      </c>
    </row>
    <row r="246" spans="1:7" x14ac:dyDescent="0.2">
      <c r="A246" t="str">
        <f>"0166968559"</f>
        <v>0166968559</v>
      </c>
      <c r="B246" t="s">
        <v>81</v>
      </c>
      <c r="C246" t="str">
        <f t="shared" si="3"/>
        <v>19/09/01</v>
      </c>
      <c r="D246" t="str">
        <f>"WESTCHESTER"</f>
        <v>WESTCHESTER</v>
      </c>
      <c r="E246" s="4">
        <v>0</v>
      </c>
      <c r="F246" s="4">
        <v>0</v>
      </c>
      <c r="G246" s="4">
        <v>0</v>
      </c>
    </row>
    <row r="247" spans="1:7" x14ac:dyDescent="0.2">
      <c r="A247" t="str">
        <f>"0417559543"</f>
        <v>0417559543</v>
      </c>
      <c r="B247" t="s">
        <v>176</v>
      </c>
      <c r="C247" t="str">
        <f t="shared" si="3"/>
        <v>19/09/01</v>
      </c>
      <c r="D247" t="str">
        <f>"ROCKLAND"</f>
        <v>ROCKLAND</v>
      </c>
      <c r="E247" s="4">
        <v>22.14</v>
      </c>
      <c r="F247" s="4">
        <v>0</v>
      </c>
      <c r="G247" s="4">
        <v>260.61</v>
      </c>
    </row>
    <row r="248" spans="1:7" x14ac:dyDescent="0.2">
      <c r="A248" t="str">
        <f>"0136467629"</f>
        <v>0136467629</v>
      </c>
      <c r="B248" t="s">
        <v>67</v>
      </c>
      <c r="C248" t="str">
        <f t="shared" si="3"/>
        <v>19/09/01</v>
      </c>
      <c r="D248" t="str">
        <f>"NASSAU"</f>
        <v>NASSAU</v>
      </c>
      <c r="E248" s="4">
        <v>0</v>
      </c>
      <c r="F248" s="4">
        <v>0</v>
      </c>
      <c r="G248" s="4">
        <v>0</v>
      </c>
    </row>
    <row r="249" spans="1:7" x14ac:dyDescent="0.2">
      <c r="A249" t="str">
        <f>"0425637335"</f>
        <v>0425637335</v>
      </c>
      <c r="B249" t="s">
        <v>149</v>
      </c>
      <c r="C249" t="str">
        <f t="shared" si="3"/>
        <v>19/09/01</v>
      </c>
      <c r="D249" t="str">
        <f>"ORANGE"</f>
        <v>ORANGE</v>
      </c>
      <c r="E249" s="4">
        <v>24.49</v>
      </c>
      <c r="F249" s="4">
        <v>23.91</v>
      </c>
      <c r="G249" s="4">
        <v>295.22000000000003</v>
      </c>
    </row>
    <row r="250" spans="1:7" x14ac:dyDescent="0.2">
      <c r="A250" t="str">
        <f>"0425637343"</f>
        <v>0425637343</v>
      </c>
      <c r="B250" t="s">
        <v>149</v>
      </c>
      <c r="C250" t="str">
        <f t="shared" si="3"/>
        <v>19/09/01</v>
      </c>
      <c r="D250" t="str">
        <f>"ROCKLAND"</f>
        <v>ROCKLAND</v>
      </c>
      <c r="E250" s="4">
        <v>20.54</v>
      </c>
      <c r="F250" s="4">
        <v>21.18</v>
      </c>
      <c r="G250" s="4">
        <v>0</v>
      </c>
    </row>
    <row r="251" spans="1:7" x14ac:dyDescent="0.2">
      <c r="A251" t="str">
        <f>"0425637359"</f>
        <v>0425637359</v>
      </c>
      <c r="B251" t="s">
        <v>149</v>
      </c>
      <c r="C251" t="str">
        <f t="shared" si="3"/>
        <v>19/09/01</v>
      </c>
      <c r="D251" t="str">
        <f>"WESTCHESTER"</f>
        <v>WESTCHESTER</v>
      </c>
      <c r="E251" s="4">
        <v>27.02</v>
      </c>
      <c r="F251" s="4">
        <v>27.78</v>
      </c>
      <c r="G251" s="4">
        <v>337.67</v>
      </c>
    </row>
    <row r="252" spans="1:7" x14ac:dyDescent="0.2">
      <c r="A252" t="str">
        <f>"0231917534"</f>
        <v>0231917534</v>
      </c>
      <c r="B252" t="s">
        <v>113</v>
      </c>
      <c r="C252" t="str">
        <f t="shared" si="3"/>
        <v>19/09/01</v>
      </c>
      <c r="D252" t="str">
        <f>"ONTARIO"</f>
        <v>ONTARIO</v>
      </c>
      <c r="E252" s="4">
        <v>19.2</v>
      </c>
      <c r="F252" s="4">
        <v>19.68</v>
      </c>
      <c r="G252" s="4">
        <v>257.45</v>
      </c>
    </row>
    <row r="253" spans="1:7" x14ac:dyDescent="0.2">
      <c r="A253" t="str">
        <f>"0231917532"</f>
        <v>0231917532</v>
      </c>
      <c r="B253" t="s">
        <v>167</v>
      </c>
      <c r="C253" t="str">
        <f t="shared" si="3"/>
        <v>19/09/01</v>
      </c>
      <c r="D253" t="str">
        <f>"ONEIDA"</f>
        <v>ONEIDA</v>
      </c>
      <c r="E253" s="4">
        <v>19.68</v>
      </c>
      <c r="F253" s="4">
        <v>21.26</v>
      </c>
      <c r="G253" s="4">
        <v>316.16000000000003</v>
      </c>
    </row>
    <row r="254" spans="1:7" x14ac:dyDescent="0.2">
      <c r="A254" t="str">
        <f>"0231917501"</f>
        <v>0231917501</v>
      </c>
      <c r="B254" t="s">
        <v>112</v>
      </c>
      <c r="C254" t="str">
        <f t="shared" si="3"/>
        <v>19/09/01</v>
      </c>
      <c r="D254" t="str">
        <f>"ALBANY"</f>
        <v>ALBANY</v>
      </c>
      <c r="E254" s="4">
        <v>25.06</v>
      </c>
      <c r="F254" s="4">
        <v>26.77</v>
      </c>
      <c r="G254" s="4">
        <v>388.8</v>
      </c>
    </row>
    <row r="255" spans="1:7" x14ac:dyDescent="0.2">
      <c r="A255" t="str">
        <f>"0231917527"</f>
        <v>0231917527</v>
      </c>
      <c r="B255" t="s">
        <v>112</v>
      </c>
      <c r="C255" t="str">
        <f t="shared" si="3"/>
        <v>19/09/01</v>
      </c>
      <c r="D255" t="str">
        <f>"MONROE"</f>
        <v>MONROE</v>
      </c>
      <c r="E255" s="4">
        <v>17.95</v>
      </c>
      <c r="F255" s="4">
        <v>19.690000000000001</v>
      </c>
      <c r="G255" s="4">
        <v>257.29000000000002</v>
      </c>
    </row>
    <row r="256" spans="1:7" x14ac:dyDescent="0.2">
      <c r="A256" t="str">
        <f>"0231917531"</f>
        <v>0231917531</v>
      </c>
      <c r="B256" t="s">
        <v>112</v>
      </c>
      <c r="C256" t="str">
        <f t="shared" si="3"/>
        <v>19/09/01</v>
      </c>
      <c r="D256" t="str">
        <f>"NIAGARA"</f>
        <v>NIAGARA</v>
      </c>
      <c r="E256" s="4">
        <v>22.75</v>
      </c>
      <c r="F256" s="4">
        <v>24.33</v>
      </c>
      <c r="G256" s="4">
        <v>369.16</v>
      </c>
    </row>
    <row r="257" spans="1:7" x14ac:dyDescent="0.2">
      <c r="A257" t="str">
        <f>"0231917533"</f>
        <v>0231917533</v>
      </c>
      <c r="B257" t="s">
        <v>112</v>
      </c>
      <c r="C257" t="str">
        <f t="shared" si="3"/>
        <v>19/09/01</v>
      </c>
      <c r="D257" t="str">
        <f>"ONONDAGA"</f>
        <v>ONONDAGA</v>
      </c>
      <c r="E257" s="4">
        <v>20.6</v>
      </c>
      <c r="F257" s="4">
        <v>22.59</v>
      </c>
      <c r="G257" s="4">
        <v>327.2</v>
      </c>
    </row>
    <row r="258" spans="1:7" x14ac:dyDescent="0.2">
      <c r="A258" t="str">
        <f>"0231917551"</f>
        <v>0231917551</v>
      </c>
      <c r="B258" t="s">
        <v>112</v>
      </c>
      <c r="C258" t="str">
        <f t="shared" si="3"/>
        <v>19/09/01</v>
      </c>
      <c r="D258" t="str">
        <f>"SUFFOLK"</f>
        <v>SUFFOLK</v>
      </c>
      <c r="E258" s="4">
        <v>26.77</v>
      </c>
      <c r="F258" s="4">
        <v>26.08</v>
      </c>
      <c r="G258" s="4">
        <v>402.62</v>
      </c>
    </row>
    <row r="259" spans="1:7" x14ac:dyDescent="0.2">
      <c r="A259" t="str">
        <f>"0231917559"</f>
        <v>0231917559</v>
      </c>
      <c r="B259" t="s">
        <v>112</v>
      </c>
      <c r="C259" t="str">
        <f t="shared" si="3"/>
        <v>19/09/01</v>
      </c>
      <c r="D259" t="str">
        <f>"WESTCHESTER"</f>
        <v>WESTCHESTER</v>
      </c>
      <c r="E259" s="4">
        <v>27</v>
      </c>
      <c r="F259" s="4">
        <v>25.63</v>
      </c>
      <c r="G259" s="4">
        <v>391.37</v>
      </c>
    </row>
    <row r="260" spans="1:7" x14ac:dyDescent="0.2">
      <c r="A260" t="str">
        <f>"0301683727"</f>
        <v>0301683727</v>
      </c>
      <c r="B260" t="s">
        <v>129</v>
      </c>
      <c r="C260" t="str">
        <f t="shared" si="3"/>
        <v>19/09/01</v>
      </c>
      <c r="D260" t="str">
        <f>"MONROE"</f>
        <v>MONROE</v>
      </c>
      <c r="E260" s="4">
        <v>17.45</v>
      </c>
      <c r="F260" s="4">
        <v>23.65</v>
      </c>
      <c r="G260" s="4">
        <v>284.95</v>
      </c>
    </row>
    <row r="261" spans="1:7" x14ac:dyDescent="0.2">
      <c r="A261" t="str">
        <f>"0088797614"</f>
        <v>0088797614</v>
      </c>
      <c r="B261" t="s">
        <v>29</v>
      </c>
      <c r="C261" t="str">
        <f t="shared" si="3"/>
        <v>19/09/01</v>
      </c>
      <c r="D261" t="str">
        <f>"ERIE"</f>
        <v>ERIE</v>
      </c>
      <c r="E261" s="4">
        <v>0</v>
      </c>
      <c r="F261" s="4">
        <v>0</v>
      </c>
      <c r="G261" s="4">
        <v>0</v>
      </c>
    </row>
    <row r="262" spans="1:7" x14ac:dyDescent="0.2">
      <c r="A262" t="str">
        <f>"0088797631"</f>
        <v>0088797631</v>
      </c>
      <c r="B262" t="s">
        <v>29</v>
      </c>
      <c r="C262" t="str">
        <f t="shared" ref="C262:C325" si="4">"19/09/01"</f>
        <v>19/09/01</v>
      </c>
      <c r="D262" t="str">
        <f>"NIAGARA"</f>
        <v>NIAGARA</v>
      </c>
      <c r="E262" s="4">
        <v>0</v>
      </c>
      <c r="F262" s="4">
        <v>0</v>
      </c>
      <c r="G262" s="4">
        <v>0</v>
      </c>
    </row>
    <row r="263" spans="1:7" x14ac:dyDescent="0.2">
      <c r="A263" t="str">
        <f>"0174097235"</f>
        <v>0174097235</v>
      </c>
      <c r="B263" t="s">
        <v>89</v>
      </c>
      <c r="C263" t="str">
        <f t="shared" si="4"/>
        <v>19/09/01</v>
      </c>
      <c r="D263" t="str">
        <f>"ORANGE"</f>
        <v>ORANGE</v>
      </c>
      <c r="E263" s="4">
        <v>22.06</v>
      </c>
      <c r="F263" s="4">
        <v>24.04</v>
      </c>
      <c r="G263" s="4">
        <v>207.9</v>
      </c>
    </row>
    <row r="264" spans="1:7" x14ac:dyDescent="0.2">
      <c r="A264" t="str">
        <f>"0174097255"</f>
        <v>0174097255</v>
      </c>
      <c r="B264" t="s">
        <v>89</v>
      </c>
      <c r="C264" t="str">
        <f t="shared" si="4"/>
        <v>19/09/01</v>
      </c>
      <c r="D264" t="str">
        <f>"ULSTER"</f>
        <v>ULSTER</v>
      </c>
      <c r="E264" s="4">
        <v>20.92</v>
      </c>
      <c r="F264" s="4">
        <v>23.76</v>
      </c>
      <c r="G264" s="4">
        <v>263.93</v>
      </c>
    </row>
    <row r="265" spans="1:7" x14ac:dyDescent="0.2">
      <c r="A265" t="str">
        <f>"0346749859"</f>
        <v>0346749859</v>
      </c>
      <c r="B265" t="s">
        <v>134</v>
      </c>
      <c r="C265" t="str">
        <f t="shared" si="4"/>
        <v>19/09/01</v>
      </c>
      <c r="D265" t="str">
        <f>"WESTCHESTER"</f>
        <v>WESTCHESTER</v>
      </c>
      <c r="E265" s="4">
        <v>22.74</v>
      </c>
      <c r="F265" s="4">
        <v>23.27</v>
      </c>
      <c r="G265" s="4">
        <v>235.62</v>
      </c>
    </row>
    <row r="266" spans="1:7" x14ac:dyDescent="0.2">
      <c r="A266" t="str">
        <f>"0516818506"</f>
        <v>0516818506</v>
      </c>
      <c r="B266" t="s">
        <v>179</v>
      </c>
      <c r="C266" t="str">
        <f t="shared" si="4"/>
        <v>19/09/01</v>
      </c>
      <c r="D266" t="str">
        <f>"CHAUTAUQUA"</f>
        <v>CHAUTAUQUA</v>
      </c>
      <c r="E266" s="4">
        <v>0</v>
      </c>
      <c r="F266" s="4">
        <v>0</v>
      </c>
      <c r="G266" s="4">
        <v>0</v>
      </c>
    </row>
    <row r="267" spans="1:7" x14ac:dyDescent="0.2">
      <c r="A267" t="str">
        <f>"0106927229"</f>
        <v>0106927229</v>
      </c>
      <c r="B267" t="s">
        <v>51</v>
      </c>
      <c r="C267" t="str">
        <f t="shared" si="4"/>
        <v>19/09/01</v>
      </c>
      <c r="D267" t="str">
        <f>"NASSAU"</f>
        <v>NASSAU</v>
      </c>
      <c r="E267" s="4">
        <v>29.49</v>
      </c>
      <c r="F267" s="4">
        <v>29.85</v>
      </c>
      <c r="G267" s="4">
        <v>365.49</v>
      </c>
    </row>
    <row r="268" spans="1:7" x14ac:dyDescent="0.2">
      <c r="A268" t="str">
        <f>"0106927235"</f>
        <v>0106927235</v>
      </c>
      <c r="B268" t="s">
        <v>51</v>
      </c>
      <c r="C268" t="str">
        <f t="shared" si="4"/>
        <v>19/09/01</v>
      </c>
      <c r="D268" t="str">
        <f>"ORANGE"</f>
        <v>ORANGE</v>
      </c>
      <c r="E268" s="4">
        <v>25.77</v>
      </c>
      <c r="F268" s="4">
        <v>25.67</v>
      </c>
      <c r="G268" s="4">
        <v>267.57</v>
      </c>
    </row>
    <row r="269" spans="1:7" x14ac:dyDescent="0.2">
      <c r="A269" t="str">
        <f>"0106927243"</f>
        <v>0106927243</v>
      </c>
      <c r="B269" t="s">
        <v>51</v>
      </c>
      <c r="C269" t="str">
        <f t="shared" si="4"/>
        <v>19/09/01</v>
      </c>
      <c r="D269" t="str">
        <f>"ROCKLAND"</f>
        <v>ROCKLAND</v>
      </c>
      <c r="E269" s="4">
        <v>28.58</v>
      </c>
      <c r="F269" s="4">
        <v>28.4</v>
      </c>
      <c r="G269" s="4">
        <v>345.78</v>
      </c>
    </row>
    <row r="270" spans="1:7" x14ac:dyDescent="0.2">
      <c r="A270" t="str">
        <f>"0106927259"</f>
        <v>0106927259</v>
      </c>
      <c r="B270" t="s">
        <v>52</v>
      </c>
      <c r="C270" t="str">
        <f t="shared" si="4"/>
        <v>19/09/01</v>
      </c>
      <c r="D270" t="str">
        <f>"WESTCHESTER"</f>
        <v>WESTCHESTER</v>
      </c>
      <c r="E270" s="4">
        <v>27.55</v>
      </c>
      <c r="F270" s="4">
        <v>27.89</v>
      </c>
      <c r="G270" s="4">
        <v>346.76</v>
      </c>
    </row>
    <row r="271" spans="1:7" x14ac:dyDescent="0.2">
      <c r="A271" t="str">
        <f>"0089173609"</f>
        <v>0089173609</v>
      </c>
      <c r="B271" t="s">
        <v>30</v>
      </c>
      <c r="C271" t="str">
        <f t="shared" si="4"/>
        <v>19/09/01</v>
      </c>
      <c r="D271" t="str">
        <f>"CLINTON"</f>
        <v>CLINTON</v>
      </c>
      <c r="E271" s="4">
        <v>20.99</v>
      </c>
      <c r="F271" s="4">
        <v>0</v>
      </c>
      <c r="G271" s="4">
        <v>0</v>
      </c>
    </row>
    <row r="272" spans="1:7" x14ac:dyDescent="0.2">
      <c r="A272" t="str">
        <f>"0089173615"</f>
        <v>0089173615</v>
      </c>
      <c r="B272" t="s">
        <v>30</v>
      </c>
      <c r="C272" t="str">
        <f t="shared" si="4"/>
        <v>19/09/01</v>
      </c>
      <c r="D272" t="str">
        <f>"ESSEX"</f>
        <v>ESSEX</v>
      </c>
      <c r="E272" s="4">
        <v>21.02</v>
      </c>
      <c r="F272" s="4">
        <v>0</v>
      </c>
      <c r="G272" s="4">
        <v>0</v>
      </c>
    </row>
    <row r="273" spans="1:7" x14ac:dyDescent="0.2">
      <c r="A273" t="str">
        <f>"0089173616"</f>
        <v>0089173616</v>
      </c>
      <c r="B273" t="s">
        <v>30</v>
      </c>
      <c r="C273" t="str">
        <f t="shared" si="4"/>
        <v>19/09/01</v>
      </c>
      <c r="D273" t="str">
        <f>"FRANKLIN"</f>
        <v>FRANKLIN</v>
      </c>
      <c r="E273" s="4">
        <v>21.03</v>
      </c>
      <c r="F273" s="4">
        <v>0</v>
      </c>
      <c r="G273" s="4">
        <v>0</v>
      </c>
    </row>
    <row r="274" spans="1:7" x14ac:dyDescent="0.2">
      <c r="A274" t="str">
        <f>"0089173644"</f>
        <v>0089173644</v>
      </c>
      <c r="B274" t="s">
        <v>30</v>
      </c>
      <c r="C274" t="str">
        <f t="shared" si="4"/>
        <v>19/09/01</v>
      </c>
      <c r="D274" t="str">
        <f>"ST LAWRENCE"</f>
        <v>ST LAWRENCE</v>
      </c>
      <c r="E274" s="4">
        <v>0</v>
      </c>
      <c r="F274" s="4">
        <v>0</v>
      </c>
      <c r="G274" s="4">
        <v>0</v>
      </c>
    </row>
    <row r="275" spans="1:7" x14ac:dyDescent="0.2">
      <c r="A275" t="str">
        <f>"0089173656"</f>
        <v>0089173656</v>
      </c>
      <c r="B275" t="s">
        <v>30</v>
      </c>
      <c r="C275" t="str">
        <f t="shared" si="4"/>
        <v>19/09/01</v>
      </c>
      <c r="D275" t="str">
        <f>"WARREN"</f>
        <v>WARREN</v>
      </c>
      <c r="E275" s="4">
        <v>0</v>
      </c>
      <c r="F275" s="4">
        <v>0</v>
      </c>
      <c r="G275" s="4">
        <v>0</v>
      </c>
    </row>
    <row r="276" spans="1:7" x14ac:dyDescent="0.2">
      <c r="A276" t="str">
        <f>"0150251029"</f>
        <v>0150251029</v>
      </c>
      <c r="B276" t="s">
        <v>73</v>
      </c>
      <c r="C276" t="str">
        <f t="shared" si="4"/>
        <v>19/09/01</v>
      </c>
      <c r="D276" t="str">
        <f>"NASSAU"</f>
        <v>NASSAU</v>
      </c>
      <c r="E276" s="4">
        <v>26.79</v>
      </c>
      <c r="F276" s="4">
        <v>0</v>
      </c>
      <c r="G276" s="4">
        <v>315.98</v>
      </c>
    </row>
    <row r="277" spans="1:7" x14ac:dyDescent="0.2">
      <c r="A277" t="str">
        <f>"0150251051"</f>
        <v>0150251051</v>
      </c>
      <c r="B277" t="s">
        <v>73</v>
      </c>
      <c r="C277" t="str">
        <f t="shared" si="4"/>
        <v>19/09/01</v>
      </c>
      <c r="D277" t="str">
        <f>"SUFFOLK"</f>
        <v>SUFFOLK</v>
      </c>
      <c r="E277" s="4">
        <v>35.200000000000003</v>
      </c>
      <c r="F277" s="4">
        <v>0</v>
      </c>
      <c r="G277" s="4">
        <v>342.46</v>
      </c>
    </row>
    <row r="278" spans="1:7" x14ac:dyDescent="0.2">
      <c r="A278" t="str">
        <f>"0268995838"</f>
        <v>0268995838</v>
      </c>
      <c r="B278" t="s">
        <v>122</v>
      </c>
      <c r="C278" t="str">
        <f t="shared" si="4"/>
        <v>19/09/01</v>
      </c>
      <c r="D278" t="str">
        <f>"OTSEGO"</f>
        <v>OTSEGO</v>
      </c>
      <c r="E278" s="4">
        <v>0</v>
      </c>
      <c r="F278" s="4">
        <v>0</v>
      </c>
      <c r="G278" s="4">
        <v>0</v>
      </c>
    </row>
    <row r="279" spans="1:7" x14ac:dyDescent="0.2">
      <c r="A279" t="str">
        <f>"0185593014"</f>
        <v>0185593014</v>
      </c>
      <c r="B279" t="s">
        <v>165</v>
      </c>
      <c r="C279" t="str">
        <f t="shared" si="4"/>
        <v>19/09/01</v>
      </c>
      <c r="D279" t="str">
        <f>"ERIE"</f>
        <v>ERIE</v>
      </c>
      <c r="E279" s="4">
        <v>0</v>
      </c>
      <c r="F279" s="4">
        <v>0</v>
      </c>
      <c r="G279" s="4">
        <v>0</v>
      </c>
    </row>
    <row r="280" spans="1:7" x14ac:dyDescent="0.2">
      <c r="A280" t="str">
        <f>"0108728729"</f>
        <v>0108728729</v>
      </c>
      <c r="B280" t="s">
        <v>54</v>
      </c>
      <c r="C280" t="str">
        <f t="shared" si="4"/>
        <v>19/09/01</v>
      </c>
      <c r="D280" t="str">
        <f>"NASSAU"</f>
        <v>NASSAU</v>
      </c>
      <c r="E280" s="4">
        <v>0</v>
      </c>
      <c r="F280" s="4">
        <v>0</v>
      </c>
      <c r="G280" s="4">
        <v>0</v>
      </c>
    </row>
    <row r="281" spans="1:7" x14ac:dyDescent="0.2">
      <c r="A281" t="str">
        <f>"0108728751"</f>
        <v>0108728751</v>
      </c>
      <c r="B281" t="s">
        <v>54</v>
      </c>
      <c r="C281" t="str">
        <f t="shared" si="4"/>
        <v>19/09/01</v>
      </c>
      <c r="D281" t="str">
        <f>"SUFFOLK"</f>
        <v>SUFFOLK</v>
      </c>
      <c r="E281" s="4">
        <v>23.29</v>
      </c>
      <c r="F281" s="4">
        <v>23.96</v>
      </c>
      <c r="G281" s="4">
        <v>302.68</v>
      </c>
    </row>
    <row r="282" spans="1:7" x14ac:dyDescent="0.2">
      <c r="A282" t="str">
        <f>"0108728759"</f>
        <v>0108728759</v>
      </c>
      <c r="B282" t="s">
        <v>54</v>
      </c>
      <c r="C282" t="str">
        <f t="shared" si="4"/>
        <v>19/09/01</v>
      </c>
      <c r="D282" t="str">
        <f>"WESTCHESTER"</f>
        <v>WESTCHESTER</v>
      </c>
      <c r="E282" s="4">
        <v>22.78</v>
      </c>
      <c r="F282" s="4">
        <v>23.56</v>
      </c>
      <c r="G282" s="4">
        <v>297.70999999999998</v>
      </c>
    </row>
    <row r="283" spans="1:7" x14ac:dyDescent="0.2">
      <c r="A283" t="str">
        <f>"0104801714"</f>
        <v>0104801714</v>
      </c>
      <c r="B283" t="s">
        <v>46</v>
      </c>
      <c r="C283" t="str">
        <f t="shared" si="4"/>
        <v>19/09/01</v>
      </c>
      <c r="D283" t="str">
        <f>"ERIE"</f>
        <v>ERIE</v>
      </c>
      <c r="E283" s="4">
        <v>17.38</v>
      </c>
      <c r="F283" s="4">
        <v>18.97</v>
      </c>
      <c r="G283" s="4">
        <v>0</v>
      </c>
    </row>
    <row r="284" spans="1:7" x14ac:dyDescent="0.2">
      <c r="A284" t="str">
        <f>"0104801731"</f>
        <v>0104801731</v>
      </c>
      <c r="B284" t="s">
        <v>46</v>
      </c>
      <c r="C284" t="str">
        <f t="shared" si="4"/>
        <v>19/09/01</v>
      </c>
      <c r="D284" t="str">
        <f>"NIAGARA"</f>
        <v>NIAGARA</v>
      </c>
      <c r="E284" s="4">
        <v>17.39</v>
      </c>
      <c r="F284" s="4">
        <v>22.12</v>
      </c>
      <c r="G284" s="4">
        <v>0</v>
      </c>
    </row>
    <row r="285" spans="1:7" x14ac:dyDescent="0.2">
      <c r="A285" t="str">
        <f>"0042019529"</f>
        <v>0042019529</v>
      </c>
      <c r="B285" t="s">
        <v>9</v>
      </c>
      <c r="C285" t="str">
        <f t="shared" si="4"/>
        <v>19/09/01</v>
      </c>
      <c r="D285" t="str">
        <f>"NASSAU"</f>
        <v>NASSAU</v>
      </c>
      <c r="E285" s="4">
        <v>23.17</v>
      </c>
      <c r="F285" s="4">
        <v>23.96</v>
      </c>
      <c r="G285" s="4">
        <v>276.62</v>
      </c>
    </row>
    <row r="286" spans="1:7" x14ac:dyDescent="0.2">
      <c r="A286" t="str">
        <f>"0042019551"</f>
        <v>0042019551</v>
      </c>
      <c r="B286" t="s">
        <v>9</v>
      </c>
      <c r="C286" t="str">
        <f t="shared" si="4"/>
        <v>19/09/01</v>
      </c>
      <c r="D286" t="str">
        <f>"SUFFOLK"</f>
        <v>SUFFOLK</v>
      </c>
      <c r="E286" s="4">
        <v>22.05</v>
      </c>
      <c r="F286" s="4">
        <v>22.83</v>
      </c>
      <c r="G286" s="4">
        <v>275.94</v>
      </c>
    </row>
    <row r="287" spans="1:7" x14ac:dyDescent="0.2">
      <c r="A287" t="str">
        <f>"0054668559"</f>
        <v>0054668559</v>
      </c>
      <c r="B287" t="s">
        <v>9</v>
      </c>
      <c r="C287" t="str">
        <f t="shared" si="4"/>
        <v>19/09/01</v>
      </c>
      <c r="D287" t="str">
        <f>"WESTCHESTER"</f>
        <v>WESTCHESTER</v>
      </c>
      <c r="E287" s="4">
        <v>22.39</v>
      </c>
      <c r="F287" s="4">
        <v>24.83</v>
      </c>
      <c r="G287" s="4">
        <v>281.52999999999997</v>
      </c>
    </row>
    <row r="288" spans="1:7" x14ac:dyDescent="0.2">
      <c r="A288" t="str">
        <f>"0257536832"</f>
        <v>0257536832</v>
      </c>
      <c r="B288" t="s">
        <v>121</v>
      </c>
      <c r="C288" t="str">
        <f t="shared" si="4"/>
        <v>19/09/01</v>
      </c>
      <c r="D288" t="str">
        <f>"ONEIDA"</f>
        <v>ONEIDA</v>
      </c>
      <c r="E288" s="4">
        <v>17.57</v>
      </c>
      <c r="F288" s="4">
        <v>19.64</v>
      </c>
      <c r="G288" s="4">
        <v>0</v>
      </c>
    </row>
    <row r="289" spans="1:7" x14ac:dyDescent="0.2">
      <c r="A289" t="str">
        <f>"0257536838"</f>
        <v>0257536838</v>
      </c>
      <c r="B289" t="s">
        <v>121</v>
      </c>
      <c r="C289" t="str">
        <f t="shared" si="4"/>
        <v>19/09/01</v>
      </c>
      <c r="D289" t="str">
        <f>"OTSEGO"</f>
        <v>OTSEGO</v>
      </c>
      <c r="E289" s="4">
        <v>18.61</v>
      </c>
      <c r="F289" s="4">
        <v>0</v>
      </c>
      <c r="G289" s="4">
        <v>0</v>
      </c>
    </row>
    <row r="290" spans="1:7" x14ac:dyDescent="0.2">
      <c r="A290" t="str">
        <f>"0257536824"</f>
        <v>0257536824</v>
      </c>
      <c r="B290" t="s">
        <v>120</v>
      </c>
      <c r="C290" t="str">
        <f t="shared" si="4"/>
        <v>19/09/01</v>
      </c>
      <c r="D290" t="str">
        <f>"LEWIS"</f>
        <v>LEWIS</v>
      </c>
      <c r="E290" s="4">
        <v>18.309999999999999</v>
      </c>
      <c r="F290" s="4">
        <v>18.190000000000001</v>
      </c>
      <c r="G290" s="4">
        <v>0</v>
      </c>
    </row>
    <row r="291" spans="1:7" x14ac:dyDescent="0.2">
      <c r="A291" t="str">
        <f>"0417503143"</f>
        <v>0417503143</v>
      </c>
      <c r="B291" t="s">
        <v>144</v>
      </c>
      <c r="C291" t="str">
        <f t="shared" si="4"/>
        <v>19/09/01</v>
      </c>
      <c r="D291" t="str">
        <f>"ROCKLAND"</f>
        <v>ROCKLAND</v>
      </c>
      <c r="E291" s="4">
        <v>25.92</v>
      </c>
      <c r="F291" s="4">
        <v>27.02</v>
      </c>
      <c r="G291" s="4">
        <v>305.43</v>
      </c>
    </row>
    <row r="292" spans="1:7" x14ac:dyDescent="0.2">
      <c r="A292" t="str">
        <f>"0417503151"</f>
        <v>0417503151</v>
      </c>
      <c r="B292" t="s">
        <v>144</v>
      </c>
      <c r="C292" t="str">
        <f t="shared" si="4"/>
        <v>19/09/01</v>
      </c>
      <c r="D292" t="str">
        <f>"SUFFOLK"</f>
        <v>SUFFOLK</v>
      </c>
      <c r="E292" s="4">
        <v>23.12</v>
      </c>
      <c r="F292" s="4">
        <v>25.59</v>
      </c>
      <c r="G292" s="4">
        <v>309.44</v>
      </c>
    </row>
    <row r="293" spans="1:7" x14ac:dyDescent="0.2">
      <c r="A293" t="str">
        <f>"0417503159"</f>
        <v>0417503159</v>
      </c>
      <c r="B293" t="s">
        <v>144</v>
      </c>
      <c r="C293" t="str">
        <f t="shared" si="4"/>
        <v>19/09/01</v>
      </c>
      <c r="D293" t="str">
        <f>"WESTCHESTER"</f>
        <v>WESTCHESTER</v>
      </c>
      <c r="E293" s="4">
        <v>24.88</v>
      </c>
      <c r="F293" s="4">
        <v>25.67</v>
      </c>
      <c r="G293" s="4">
        <v>316.14</v>
      </c>
    </row>
    <row r="294" spans="1:7" x14ac:dyDescent="0.2">
      <c r="A294" t="str">
        <f>"0134254313"</f>
        <v>0134254313</v>
      </c>
      <c r="B294" t="s">
        <v>64</v>
      </c>
      <c r="C294" t="str">
        <f t="shared" si="4"/>
        <v>19/09/01</v>
      </c>
      <c r="D294" t="str">
        <f>"DUTCHESS"</f>
        <v>DUTCHESS</v>
      </c>
      <c r="E294" s="4">
        <v>19.21</v>
      </c>
      <c r="F294" s="4">
        <v>20.79</v>
      </c>
      <c r="G294" s="4">
        <v>224.85</v>
      </c>
    </row>
    <row r="295" spans="1:7" x14ac:dyDescent="0.2">
      <c r="A295" t="str">
        <f>"0134254351"</f>
        <v>0134254351</v>
      </c>
      <c r="B295" t="s">
        <v>64</v>
      </c>
      <c r="C295" t="str">
        <f t="shared" si="4"/>
        <v>19/09/01</v>
      </c>
      <c r="D295" t="str">
        <f>"SUFFOLK"</f>
        <v>SUFFOLK</v>
      </c>
      <c r="E295" s="4">
        <v>23.94</v>
      </c>
      <c r="F295" s="4">
        <v>24.5</v>
      </c>
      <c r="G295" s="4">
        <v>303.77999999999997</v>
      </c>
    </row>
    <row r="296" spans="1:7" x14ac:dyDescent="0.2">
      <c r="A296" t="str">
        <f>"0171776632"</f>
        <v>0171776632</v>
      </c>
      <c r="B296" t="s">
        <v>85</v>
      </c>
      <c r="C296" t="str">
        <f t="shared" si="4"/>
        <v>19/09/01</v>
      </c>
      <c r="D296" t="str">
        <f>"ONEIDA"</f>
        <v>ONEIDA</v>
      </c>
      <c r="E296" s="4">
        <v>0</v>
      </c>
      <c r="F296" s="4">
        <v>0</v>
      </c>
      <c r="G296" s="4">
        <v>0</v>
      </c>
    </row>
    <row r="297" spans="1:7" x14ac:dyDescent="0.2">
      <c r="A297" t="str">
        <f>"0255401635"</f>
        <v>0255401635</v>
      </c>
      <c r="B297" t="s">
        <v>119</v>
      </c>
      <c r="C297" t="str">
        <f t="shared" si="4"/>
        <v>19/09/01</v>
      </c>
      <c r="D297" t="str">
        <f>"ORANGE"</f>
        <v>ORANGE</v>
      </c>
      <c r="E297" s="4">
        <v>19.350000000000001</v>
      </c>
      <c r="F297" s="4">
        <v>19.29</v>
      </c>
      <c r="G297" s="4">
        <v>250.01</v>
      </c>
    </row>
    <row r="298" spans="1:7" x14ac:dyDescent="0.2">
      <c r="A298" t="str">
        <f>"0172952429"</f>
        <v>0172952429</v>
      </c>
      <c r="B298" t="s">
        <v>86</v>
      </c>
      <c r="C298" t="str">
        <f t="shared" si="4"/>
        <v>19/09/01</v>
      </c>
      <c r="D298" t="str">
        <f>"NASSAU"</f>
        <v>NASSAU</v>
      </c>
      <c r="E298" s="4">
        <v>21.51</v>
      </c>
      <c r="F298" s="4">
        <v>22.07</v>
      </c>
      <c r="G298" s="4">
        <v>276</v>
      </c>
    </row>
    <row r="299" spans="1:7" x14ac:dyDescent="0.2">
      <c r="A299" t="str">
        <f>"0172952459"</f>
        <v>0172952459</v>
      </c>
      <c r="B299" t="s">
        <v>86</v>
      </c>
      <c r="C299" t="str">
        <f t="shared" si="4"/>
        <v>19/09/01</v>
      </c>
      <c r="D299" t="str">
        <f>"WESTCHESTER"</f>
        <v>WESTCHESTER</v>
      </c>
      <c r="E299" s="4">
        <v>22.81</v>
      </c>
      <c r="F299" s="4">
        <v>23.36</v>
      </c>
      <c r="G299" s="4">
        <v>287.12</v>
      </c>
    </row>
    <row r="300" spans="1:7" x14ac:dyDescent="0.2">
      <c r="A300" t="str">
        <f>"0352135917"</f>
        <v>0352135917</v>
      </c>
      <c r="B300" t="s">
        <v>136</v>
      </c>
      <c r="C300" t="str">
        <f t="shared" si="4"/>
        <v>19/09/01</v>
      </c>
      <c r="D300" t="str">
        <f>"FULTON"</f>
        <v>FULTON</v>
      </c>
      <c r="E300" s="4">
        <v>20.93</v>
      </c>
      <c r="F300" s="4">
        <v>0</v>
      </c>
      <c r="G300" s="4">
        <v>0</v>
      </c>
    </row>
    <row r="301" spans="1:7" x14ac:dyDescent="0.2">
      <c r="A301" t="str">
        <f>"0352135928"</f>
        <v>0352135928</v>
      </c>
      <c r="B301" t="s">
        <v>136</v>
      </c>
      <c r="C301" t="str">
        <f t="shared" si="4"/>
        <v>19/09/01</v>
      </c>
      <c r="D301" t="str">
        <f>"MONTGOMERY"</f>
        <v>MONTGOMERY</v>
      </c>
      <c r="E301" s="4">
        <v>20.94</v>
      </c>
      <c r="F301" s="4">
        <v>0</v>
      </c>
      <c r="G301" s="4">
        <v>0</v>
      </c>
    </row>
    <row r="302" spans="1:7" x14ac:dyDescent="0.2">
      <c r="A302" t="str">
        <f>"0035486129"</f>
        <v>0035486129</v>
      </c>
      <c r="B302" t="s">
        <v>6</v>
      </c>
      <c r="C302" t="str">
        <f t="shared" si="4"/>
        <v>19/09/01</v>
      </c>
      <c r="D302" t="str">
        <f>"NASSAU"</f>
        <v>NASSAU</v>
      </c>
      <c r="E302" s="4">
        <v>21.85</v>
      </c>
      <c r="F302" s="4">
        <v>27.76</v>
      </c>
      <c r="G302" s="4">
        <v>284.08999999999997</v>
      </c>
    </row>
    <row r="303" spans="1:7" x14ac:dyDescent="0.2">
      <c r="A303" t="str">
        <f>"0047617351"</f>
        <v>0047617351</v>
      </c>
      <c r="B303" t="s">
        <v>6</v>
      </c>
      <c r="C303" t="str">
        <f t="shared" si="4"/>
        <v>19/09/01</v>
      </c>
      <c r="D303" t="str">
        <f>"SUFFOLK"</f>
        <v>SUFFOLK</v>
      </c>
      <c r="E303" s="4">
        <v>21.76</v>
      </c>
      <c r="F303" s="4">
        <v>27.77</v>
      </c>
      <c r="G303" s="4">
        <v>280.27</v>
      </c>
    </row>
    <row r="304" spans="1:7" x14ac:dyDescent="0.2">
      <c r="A304" t="str">
        <f>"0098972659"</f>
        <v>0098972659</v>
      </c>
      <c r="B304" t="s">
        <v>6</v>
      </c>
      <c r="C304" t="str">
        <f t="shared" si="4"/>
        <v>19/09/01</v>
      </c>
      <c r="D304" t="str">
        <f>"WESTCHESTER"</f>
        <v>WESTCHESTER</v>
      </c>
      <c r="E304" s="4">
        <v>21.69</v>
      </c>
      <c r="F304" s="4">
        <v>27.76</v>
      </c>
      <c r="G304" s="4">
        <v>280.58</v>
      </c>
    </row>
    <row r="305" spans="1:7" x14ac:dyDescent="0.2">
      <c r="A305" t="str">
        <f>"0161452029"</f>
        <v>0161452029</v>
      </c>
      <c r="B305" t="s">
        <v>76</v>
      </c>
      <c r="C305" t="str">
        <f t="shared" si="4"/>
        <v>19/09/01</v>
      </c>
      <c r="D305" t="str">
        <f>"NASSAU"</f>
        <v>NASSAU</v>
      </c>
      <c r="E305" s="4">
        <v>0</v>
      </c>
      <c r="F305" s="4">
        <v>0</v>
      </c>
      <c r="G305" s="4">
        <v>0</v>
      </c>
    </row>
    <row r="306" spans="1:7" x14ac:dyDescent="0.2">
      <c r="A306" t="str">
        <f>"0097412122"</f>
        <v>0097412122</v>
      </c>
      <c r="B306" t="s">
        <v>41</v>
      </c>
      <c r="C306" t="str">
        <f t="shared" si="4"/>
        <v>19/09/01</v>
      </c>
      <c r="D306" t="str">
        <f>"JEFFERSON"</f>
        <v>JEFFERSON</v>
      </c>
      <c r="E306" s="4">
        <v>17.43</v>
      </c>
      <c r="F306" s="4">
        <v>18.8</v>
      </c>
      <c r="G306" s="4">
        <v>0</v>
      </c>
    </row>
    <row r="307" spans="1:7" x14ac:dyDescent="0.2">
      <c r="A307" t="str">
        <f>"0097412108"</f>
        <v>0097412108</v>
      </c>
      <c r="B307" t="s">
        <v>40</v>
      </c>
      <c r="C307" t="str">
        <f t="shared" si="4"/>
        <v>19/09/01</v>
      </c>
      <c r="D307" t="str">
        <f>"CHENANGO"</f>
        <v>CHENANGO</v>
      </c>
      <c r="E307" s="4">
        <v>17.61</v>
      </c>
      <c r="F307" s="4">
        <v>18.34</v>
      </c>
      <c r="G307" s="4">
        <v>0</v>
      </c>
    </row>
    <row r="308" spans="1:7" x14ac:dyDescent="0.2">
      <c r="A308" t="str">
        <f>"0097412112"</f>
        <v>0097412112</v>
      </c>
      <c r="B308" t="s">
        <v>40</v>
      </c>
      <c r="C308" t="str">
        <f t="shared" si="4"/>
        <v>19/09/01</v>
      </c>
      <c r="D308" t="str">
        <f>"DELAWARE"</f>
        <v>DELAWARE</v>
      </c>
      <c r="E308" s="4">
        <v>17.760000000000002</v>
      </c>
      <c r="F308" s="4">
        <v>19.75</v>
      </c>
      <c r="G308" s="4">
        <v>0</v>
      </c>
    </row>
    <row r="309" spans="1:7" x14ac:dyDescent="0.2">
      <c r="A309" t="str">
        <f>"0097412117"</f>
        <v>0097412117</v>
      </c>
      <c r="B309" t="s">
        <v>40</v>
      </c>
      <c r="C309" t="str">
        <f t="shared" si="4"/>
        <v>19/09/01</v>
      </c>
      <c r="D309" t="str">
        <f>"FULTON"</f>
        <v>FULTON</v>
      </c>
      <c r="E309" s="4">
        <v>17.61</v>
      </c>
      <c r="F309" s="4">
        <v>18.760000000000002</v>
      </c>
      <c r="G309" s="4">
        <v>0</v>
      </c>
    </row>
    <row r="310" spans="1:7" x14ac:dyDescent="0.2">
      <c r="A310" t="str">
        <f>"0097412121"</f>
        <v>0097412121</v>
      </c>
      <c r="B310" t="s">
        <v>40</v>
      </c>
      <c r="C310" t="str">
        <f t="shared" si="4"/>
        <v>19/09/01</v>
      </c>
      <c r="D310" t="str">
        <f>"HERKIMER"</f>
        <v>HERKIMER</v>
      </c>
      <c r="E310" s="4">
        <v>17.899999999999999</v>
      </c>
      <c r="F310" s="4">
        <v>18.52</v>
      </c>
      <c r="G310" s="4">
        <v>0</v>
      </c>
    </row>
    <row r="311" spans="1:7" x14ac:dyDescent="0.2">
      <c r="A311" t="str">
        <f>"0097412124"</f>
        <v>0097412124</v>
      </c>
      <c r="B311" t="s">
        <v>40</v>
      </c>
      <c r="C311" t="str">
        <f t="shared" si="4"/>
        <v>19/09/01</v>
      </c>
      <c r="D311" t="str">
        <f>"LEWIS"</f>
        <v>LEWIS</v>
      </c>
      <c r="E311" s="4">
        <v>17.37</v>
      </c>
      <c r="F311" s="4">
        <v>19.09</v>
      </c>
      <c r="G311" s="4">
        <v>0</v>
      </c>
    </row>
    <row r="312" spans="1:7" x14ac:dyDescent="0.2">
      <c r="A312" t="str">
        <f>"0097412126"</f>
        <v>0097412126</v>
      </c>
      <c r="B312" t="s">
        <v>40</v>
      </c>
      <c r="C312" t="str">
        <f t="shared" si="4"/>
        <v>19/09/01</v>
      </c>
      <c r="D312" t="str">
        <f>"MADISON"</f>
        <v>MADISON</v>
      </c>
      <c r="E312" s="4">
        <v>17.52</v>
      </c>
      <c r="F312" s="4">
        <v>18.12</v>
      </c>
      <c r="G312" s="4">
        <v>0</v>
      </c>
    </row>
    <row r="313" spans="1:7" x14ac:dyDescent="0.2">
      <c r="A313" t="str">
        <f>"0097412128"</f>
        <v>0097412128</v>
      </c>
      <c r="B313" t="s">
        <v>40</v>
      </c>
      <c r="C313" t="str">
        <f t="shared" si="4"/>
        <v>19/09/01</v>
      </c>
      <c r="D313" t="str">
        <f>"MONTGOMERY"</f>
        <v>MONTGOMERY</v>
      </c>
      <c r="E313" s="4">
        <v>17.88</v>
      </c>
      <c r="F313" s="4">
        <v>18.95</v>
      </c>
      <c r="G313" s="4">
        <v>0</v>
      </c>
    </row>
    <row r="314" spans="1:7" x14ac:dyDescent="0.2">
      <c r="A314" t="str">
        <f>"0097412132"</f>
        <v>0097412132</v>
      </c>
      <c r="B314" t="s">
        <v>40</v>
      </c>
      <c r="C314" t="str">
        <f t="shared" si="4"/>
        <v>19/09/01</v>
      </c>
      <c r="D314" t="str">
        <f>"ONEIDA"</f>
        <v>ONEIDA</v>
      </c>
      <c r="E314" s="4">
        <v>17.63</v>
      </c>
      <c r="F314" s="4">
        <v>19.309999999999999</v>
      </c>
      <c r="G314" s="4">
        <v>0</v>
      </c>
    </row>
    <row r="315" spans="1:7" x14ac:dyDescent="0.2">
      <c r="A315" t="str">
        <f>"0097412138"</f>
        <v>0097412138</v>
      </c>
      <c r="B315" t="s">
        <v>40</v>
      </c>
      <c r="C315" t="str">
        <f t="shared" si="4"/>
        <v>19/09/01</v>
      </c>
      <c r="D315" t="str">
        <f>"OTSEGO"</f>
        <v>OTSEGO</v>
      </c>
      <c r="E315" s="4">
        <v>17.14</v>
      </c>
      <c r="F315" s="4">
        <v>20.02</v>
      </c>
      <c r="G315" s="4">
        <v>0</v>
      </c>
    </row>
    <row r="316" spans="1:7" x14ac:dyDescent="0.2">
      <c r="A316" t="str">
        <f>"0097412147"</f>
        <v>0097412147</v>
      </c>
      <c r="B316" t="s">
        <v>40</v>
      </c>
      <c r="C316" t="str">
        <f t="shared" si="4"/>
        <v>19/09/01</v>
      </c>
      <c r="D316" t="str">
        <f>"SCHOHARIE"</f>
        <v>SCHOHARIE</v>
      </c>
      <c r="E316" s="4">
        <v>16.690000000000001</v>
      </c>
      <c r="F316" s="4">
        <v>19.18</v>
      </c>
      <c r="G316" s="4">
        <v>0</v>
      </c>
    </row>
    <row r="317" spans="1:7" x14ac:dyDescent="0.2">
      <c r="A317" t="str">
        <f>"0166603143"</f>
        <v>0166603143</v>
      </c>
      <c r="B317" t="s">
        <v>80</v>
      </c>
      <c r="C317" t="str">
        <f t="shared" si="4"/>
        <v>19/09/01</v>
      </c>
      <c r="D317" t="str">
        <f>"ROCKLAND"</f>
        <v>ROCKLAND</v>
      </c>
      <c r="E317" s="4">
        <v>20.67</v>
      </c>
      <c r="F317" s="4">
        <v>0</v>
      </c>
      <c r="G317" s="4">
        <v>0</v>
      </c>
    </row>
    <row r="318" spans="1:7" x14ac:dyDescent="0.2">
      <c r="A318" t="str">
        <f>"0414030551"</f>
        <v>0414030551</v>
      </c>
      <c r="B318" t="s">
        <v>174</v>
      </c>
      <c r="C318" t="str">
        <f t="shared" si="4"/>
        <v>19/09/01</v>
      </c>
      <c r="D318" t="str">
        <f>"SUFFOLK"</f>
        <v>SUFFOLK</v>
      </c>
      <c r="E318" s="4">
        <v>0</v>
      </c>
      <c r="F318" s="4">
        <v>0</v>
      </c>
      <c r="G318" s="4">
        <v>0</v>
      </c>
    </row>
    <row r="319" spans="1:7" x14ac:dyDescent="0.2">
      <c r="A319" t="str">
        <f>"0536167917"</f>
        <v>0536167917</v>
      </c>
      <c r="B319" t="s">
        <v>180</v>
      </c>
      <c r="C319" t="str">
        <f t="shared" si="4"/>
        <v>19/09/01</v>
      </c>
      <c r="D319" t="str">
        <f>"FULTON"</f>
        <v>FULTON</v>
      </c>
      <c r="E319" s="4">
        <v>0</v>
      </c>
      <c r="F319" s="4">
        <v>0</v>
      </c>
      <c r="G319" s="4">
        <v>0</v>
      </c>
    </row>
    <row r="320" spans="1:7" x14ac:dyDescent="0.2">
      <c r="A320" t="str">
        <f>"0097443829"</f>
        <v>0097443829</v>
      </c>
      <c r="B320" t="s">
        <v>162</v>
      </c>
      <c r="C320" t="str">
        <f t="shared" si="4"/>
        <v>19/09/01</v>
      </c>
      <c r="D320" t="str">
        <f>"NASSAU"</f>
        <v>NASSAU</v>
      </c>
      <c r="E320" s="4">
        <v>23.24</v>
      </c>
      <c r="F320" s="4">
        <v>0</v>
      </c>
      <c r="G320" s="4">
        <v>0</v>
      </c>
    </row>
    <row r="321" spans="1:7" x14ac:dyDescent="0.2">
      <c r="A321" t="str">
        <f>"0170770849"</f>
        <v>0170770849</v>
      </c>
      <c r="B321" t="s">
        <v>163</v>
      </c>
      <c r="C321" t="str">
        <f t="shared" si="4"/>
        <v>19/09/01</v>
      </c>
      <c r="D321" t="str">
        <f>"SENECA"</f>
        <v>SENECA</v>
      </c>
      <c r="E321" s="4">
        <v>16.649999999999999</v>
      </c>
      <c r="F321" s="4">
        <v>0</v>
      </c>
      <c r="G321" s="4">
        <v>0</v>
      </c>
    </row>
    <row r="322" spans="1:7" x14ac:dyDescent="0.2">
      <c r="A322" t="str">
        <f>"0108549629"</f>
        <v>0108549629</v>
      </c>
      <c r="B322" t="s">
        <v>53</v>
      </c>
      <c r="C322" t="str">
        <f t="shared" si="4"/>
        <v>19/09/01</v>
      </c>
      <c r="D322" t="str">
        <f>"NASSAU"</f>
        <v>NASSAU</v>
      </c>
      <c r="E322" s="4">
        <v>21.68</v>
      </c>
      <c r="F322" s="4">
        <v>27.78</v>
      </c>
      <c r="G322" s="4">
        <v>279.64999999999998</v>
      </c>
    </row>
    <row r="323" spans="1:7" x14ac:dyDescent="0.2">
      <c r="A323" t="str">
        <f>"0108549651"</f>
        <v>0108549651</v>
      </c>
      <c r="B323" t="s">
        <v>53</v>
      </c>
      <c r="C323" t="str">
        <f t="shared" si="4"/>
        <v>19/09/01</v>
      </c>
      <c r="D323" t="str">
        <f>"SUFFOLK"</f>
        <v>SUFFOLK</v>
      </c>
      <c r="E323" s="4">
        <v>23.68</v>
      </c>
      <c r="F323" s="4">
        <v>27.76</v>
      </c>
      <c r="G323" s="4">
        <v>306.95</v>
      </c>
    </row>
    <row r="324" spans="1:7" x14ac:dyDescent="0.2">
      <c r="A324" t="str">
        <f>"0108549659"</f>
        <v>0108549659</v>
      </c>
      <c r="B324" t="s">
        <v>53</v>
      </c>
      <c r="C324" t="str">
        <f t="shared" si="4"/>
        <v>19/09/01</v>
      </c>
      <c r="D324" t="str">
        <f>"WESTCHESTER"</f>
        <v>WESTCHESTER</v>
      </c>
      <c r="E324" s="4">
        <v>21.78</v>
      </c>
      <c r="F324" s="4">
        <v>27.79</v>
      </c>
      <c r="G324" s="4">
        <v>286.44</v>
      </c>
    </row>
    <row r="325" spans="1:7" x14ac:dyDescent="0.2">
      <c r="A325" t="str">
        <f>"0174116603"</f>
        <v>0174116603</v>
      </c>
      <c r="B325" t="s">
        <v>91</v>
      </c>
      <c r="C325" t="str">
        <f t="shared" si="4"/>
        <v>19/09/01</v>
      </c>
      <c r="D325" t="str">
        <f>"BROOME"</f>
        <v>BROOME</v>
      </c>
      <c r="E325" s="4">
        <v>17.190000000000001</v>
      </c>
      <c r="F325" s="4">
        <v>19.27</v>
      </c>
      <c r="G325" s="4">
        <v>0</v>
      </c>
    </row>
    <row r="326" spans="1:7" x14ac:dyDescent="0.2">
      <c r="A326" t="str">
        <f>"0174116653"</f>
        <v>0174116653</v>
      </c>
      <c r="B326" t="s">
        <v>91</v>
      </c>
      <c r="C326" t="str">
        <f t="shared" ref="C326:C389" si="5">"19/09/01"</f>
        <v>19/09/01</v>
      </c>
      <c r="D326" t="str">
        <f>"TIOGA"</f>
        <v>TIOGA</v>
      </c>
      <c r="E326" s="4">
        <v>16.23</v>
      </c>
      <c r="F326" s="4">
        <v>19.309999999999999</v>
      </c>
      <c r="G326" s="4">
        <v>0</v>
      </c>
    </row>
    <row r="327" spans="1:7" x14ac:dyDescent="0.2">
      <c r="A327" t="str">
        <f>"0124722713"</f>
        <v>0124722713</v>
      </c>
      <c r="B327" t="s">
        <v>61</v>
      </c>
      <c r="C327" t="str">
        <f t="shared" si="5"/>
        <v>19/09/01</v>
      </c>
      <c r="D327" t="str">
        <f>"DUTCHESS"</f>
        <v>DUTCHESS</v>
      </c>
      <c r="E327" s="4">
        <v>0</v>
      </c>
      <c r="F327" s="4">
        <v>0</v>
      </c>
      <c r="G327" s="4">
        <v>0</v>
      </c>
    </row>
    <row r="328" spans="1:7" x14ac:dyDescent="0.2">
      <c r="A328" t="str">
        <f>"0105243703"</f>
        <v>0105243703</v>
      </c>
      <c r="B328" t="s">
        <v>47</v>
      </c>
      <c r="C328" t="str">
        <f t="shared" si="5"/>
        <v>19/09/01</v>
      </c>
      <c r="D328" t="str">
        <f>"BROOME"</f>
        <v>BROOME</v>
      </c>
      <c r="E328" s="4">
        <v>26.27</v>
      </c>
      <c r="F328" s="4">
        <v>28.12</v>
      </c>
      <c r="G328" s="4">
        <v>310.95999999999998</v>
      </c>
    </row>
    <row r="329" spans="1:7" x14ac:dyDescent="0.2">
      <c r="A329" t="str">
        <f>"0105243705"</f>
        <v>0105243705</v>
      </c>
      <c r="B329" t="s">
        <v>47</v>
      </c>
      <c r="C329" t="str">
        <f t="shared" si="5"/>
        <v>19/09/01</v>
      </c>
      <c r="D329" t="str">
        <f>"CAYUGA"</f>
        <v>CAYUGA</v>
      </c>
      <c r="E329" s="4">
        <v>26.34</v>
      </c>
      <c r="F329" s="4">
        <v>28.2</v>
      </c>
      <c r="G329" s="4">
        <v>311.89999999999998</v>
      </c>
    </row>
    <row r="330" spans="1:7" x14ac:dyDescent="0.2">
      <c r="A330" t="str">
        <f>"0105243707"</f>
        <v>0105243707</v>
      </c>
      <c r="B330" t="s">
        <v>47</v>
      </c>
      <c r="C330" t="str">
        <f t="shared" si="5"/>
        <v>19/09/01</v>
      </c>
      <c r="D330" t="str">
        <f>"CHEMUNG"</f>
        <v>CHEMUNG</v>
      </c>
      <c r="E330" s="4">
        <v>26.34</v>
      </c>
      <c r="F330" s="4">
        <v>28.2</v>
      </c>
      <c r="G330" s="4">
        <v>311.88</v>
      </c>
    </row>
    <row r="331" spans="1:7" x14ac:dyDescent="0.2">
      <c r="A331" t="str">
        <f>"0105243708"</f>
        <v>0105243708</v>
      </c>
      <c r="B331" t="s">
        <v>47</v>
      </c>
      <c r="C331" t="str">
        <f t="shared" si="5"/>
        <v>19/09/01</v>
      </c>
      <c r="D331" t="str">
        <f>"CHENANGO"</f>
        <v>CHENANGO</v>
      </c>
      <c r="E331" s="4">
        <v>26.33</v>
      </c>
      <c r="F331" s="4">
        <v>28.18</v>
      </c>
      <c r="G331" s="4">
        <v>311.58999999999997</v>
      </c>
    </row>
    <row r="332" spans="1:7" x14ac:dyDescent="0.2">
      <c r="A332" t="str">
        <f>"0105243711"</f>
        <v>0105243711</v>
      </c>
      <c r="B332" t="s">
        <v>47</v>
      </c>
      <c r="C332" t="str">
        <f t="shared" si="5"/>
        <v>19/09/01</v>
      </c>
      <c r="D332" t="str">
        <f>"CORTLAND"</f>
        <v>CORTLAND</v>
      </c>
      <c r="E332" s="4">
        <v>26.35</v>
      </c>
      <c r="F332" s="4">
        <v>28.21</v>
      </c>
      <c r="G332" s="4">
        <v>311.98</v>
      </c>
    </row>
    <row r="333" spans="1:7" x14ac:dyDescent="0.2">
      <c r="A333" t="str">
        <f>"0105243722"</f>
        <v>0105243722</v>
      </c>
      <c r="B333" t="s">
        <v>47</v>
      </c>
      <c r="C333" t="str">
        <f t="shared" si="5"/>
        <v>19/09/01</v>
      </c>
      <c r="D333" t="str">
        <f>"JEFFERSON"</f>
        <v>JEFFERSON</v>
      </c>
      <c r="E333" s="4">
        <v>29.92</v>
      </c>
      <c r="F333" s="4">
        <v>33.07</v>
      </c>
      <c r="G333" s="4">
        <v>372.75</v>
      </c>
    </row>
    <row r="334" spans="1:7" x14ac:dyDescent="0.2">
      <c r="A334" t="str">
        <f>"0105243732"</f>
        <v>0105243732</v>
      </c>
      <c r="B334" t="s">
        <v>47</v>
      </c>
      <c r="C334" t="str">
        <f t="shared" si="5"/>
        <v>19/09/01</v>
      </c>
      <c r="D334" t="str">
        <f>"ONEIDA"</f>
        <v>ONEIDA</v>
      </c>
      <c r="E334" s="4">
        <v>26.25</v>
      </c>
      <c r="F334" s="4">
        <v>28.09</v>
      </c>
      <c r="G334" s="4">
        <v>310.67</v>
      </c>
    </row>
    <row r="335" spans="1:7" x14ac:dyDescent="0.2">
      <c r="A335" t="str">
        <f>"0105243733"</f>
        <v>0105243733</v>
      </c>
      <c r="B335" t="s">
        <v>47</v>
      </c>
      <c r="C335" t="str">
        <f t="shared" si="5"/>
        <v>19/09/01</v>
      </c>
      <c r="D335" t="str">
        <f>"ONONDAGA"</f>
        <v>ONONDAGA</v>
      </c>
      <c r="E335" s="4">
        <v>26.31</v>
      </c>
      <c r="F335" s="4">
        <v>28.17</v>
      </c>
      <c r="G335" s="4">
        <v>311.73</v>
      </c>
    </row>
    <row r="336" spans="1:7" x14ac:dyDescent="0.2">
      <c r="A336" t="str">
        <f>"0105243737"</f>
        <v>0105243737</v>
      </c>
      <c r="B336" t="s">
        <v>47</v>
      </c>
      <c r="C336" t="str">
        <f t="shared" si="5"/>
        <v>19/09/01</v>
      </c>
      <c r="D336" t="str">
        <f>"OSWEGO"</f>
        <v>OSWEGO</v>
      </c>
      <c r="E336" s="4">
        <v>28.78</v>
      </c>
      <c r="F336" s="4">
        <v>30.7</v>
      </c>
      <c r="G336" s="4">
        <v>336.86</v>
      </c>
    </row>
    <row r="337" spans="1:7" x14ac:dyDescent="0.2">
      <c r="A337" t="str">
        <f>"0105243748"</f>
        <v>0105243748</v>
      </c>
      <c r="B337" t="s">
        <v>47</v>
      </c>
      <c r="C337" t="str">
        <f t="shared" si="5"/>
        <v>19/09/01</v>
      </c>
      <c r="D337" t="str">
        <f>"SCHUYLER"</f>
        <v>SCHUYLER</v>
      </c>
      <c r="E337" s="4">
        <v>26.36</v>
      </c>
      <c r="F337" s="4">
        <v>28.22</v>
      </c>
      <c r="G337" s="4">
        <v>312.08999999999997</v>
      </c>
    </row>
    <row r="338" spans="1:7" x14ac:dyDescent="0.2">
      <c r="A338" t="str">
        <f>"0105243749"</f>
        <v>0105243749</v>
      </c>
      <c r="B338" t="s">
        <v>47</v>
      </c>
      <c r="C338" t="str">
        <f t="shared" si="5"/>
        <v>19/09/01</v>
      </c>
      <c r="D338" t="str">
        <f>"SENECA"</f>
        <v>SENECA</v>
      </c>
      <c r="E338" s="4">
        <v>29.92</v>
      </c>
      <c r="F338" s="4">
        <v>33.07</v>
      </c>
      <c r="G338" s="4">
        <v>372.75</v>
      </c>
    </row>
    <row r="339" spans="1:7" x14ac:dyDescent="0.2">
      <c r="A339" t="str">
        <f>"0105243750"</f>
        <v>0105243750</v>
      </c>
      <c r="B339" t="s">
        <v>47</v>
      </c>
      <c r="C339" t="str">
        <f t="shared" si="5"/>
        <v>19/09/01</v>
      </c>
      <c r="D339" t="str">
        <f>"STEUBEN"</f>
        <v>STEUBEN</v>
      </c>
      <c r="E339" s="4">
        <v>26.33</v>
      </c>
      <c r="F339" s="4">
        <v>28.19</v>
      </c>
      <c r="G339" s="4">
        <v>311.70999999999998</v>
      </c>
    </row>
    <row r="340" spans="1:7" x14ac:dyDescent="0.2">
      <c r="A340" t="str">
        <f>"0105243753"</f>
        <v>0105243753</v>
      </c>
      <c r="B340" t="s">
        <v>47</v>
      </c>
      <c r="C340" t="str">
        <f t="shared" si="5"/>
        <v>19/09/01</v>
      </c>
      <c r="D340" t="str">
        <f>"TIOGA"</f>
        <v>TIOGA</v>
      </c>
      <c r="E340" s="4">
        <v>26.28</v>
      </c>
      <c r="F340" s="4">
        <v>28.12</v>
      </c>
      <c r="G340" s="4">
        <v>311.12</v>
      </c>
    </row>
    <row r="341" spans="1:7" x14ac:dyDescent="0.2">
      <c r="A341" t="str">
        <f>"0105243754"</f>
        <v>0105243754</v>
      </c>
      <c r="B341" t="s">
        <v>47</v>
      </c>
      <c r="C341" t="str">
        <f t="shared" si="5"/>
        <v>19/09/01</v>
      </c>
      <c r="D341" t="str">
        <f>"TOMPKINS"</f>
        <v>TOMPKINS</v>
      </c>
      <c r="E341" s="4">
        <v>26.34</v>
      </c>
      <c r="F341" s="4">
        <v>28.2</v>
      </c>
      <c r="G341" s="4">
        <v>311.95999999999998</v>
      </c>
    </row>
    <row r="342" spans="1:7" x14ac:dyDescent="0.2">
      <c r="A342" t="str">
        <f>"0404549243"</f>
        <v>0404549243</v>
      </c>
      <c r="B342" t="s">
        <v>172</v>
      </c>
      <c r="C342" t="str">
        <f t="shared" si="5"/>
        <v>19/09/01</v>
      </c>
      <c r="D342" t="str">
        <f>"ROCKLAND"</f>
        <v>ROCKLAND</v>
      </c>
      <c r="E342" s="4">
        <v>22.78</v>
      </c>
      <c r="F342" s="4">
        <v>0</v>
      </c>
      <c r="G342" s="4">
        <v>0</v>
      </c>
    </row>
    <row r="343" spans="1:7" x14ac:dyDescent="0.2">
      <c r="A343" t="str">
        <f>"0404549259"</f>
        <v>0404549259</v>
      </c>
      <c r="B343" t="s">
        <v>173</v>
      </c>
      <c r="C343" t="str">
        <f t="shared" si="5"/>
        <v>19/09/01</v>
      </c>
      <c r="D343" t="str">
        <f>"WESTCHESTER"</f>
        <v>WESTCHESTER</v>
      </c>
      <c r="E343" s="4">
        <v>24.18</v>
      </c>
      <c r="F343" s="4">
        <v>25</v>
      </c>
      <c r="G343" s="4">
        <v>307.36</v>
      </c>
    </row>
    <row r="344" spans="1:7" x14ac:dyDescent="0.2">
      <c r="A344" t="str">
        <f>"0121121021"</f>
        <v>0121121021</v>
      </c>
      <c r="B344" t="s">
        <v>60</v>
      </c>
      <c r="C344" t="str">
        <f t="shared" si="5"/>
        <v>19/09/01</v>
      </c>
      <c r="D344" t="str">
        <f>"HERKIMER"</f>
        <v>HERKIMER</v>
      </c>
      <c r="E344" s="4">
        <v>0</v>
      </c>
      <c r="F344" s="4">
        <v>0</v>
      </c>
      <c r="G344" s="4">
        <v>0</v>
      </c>
    </row>
    <row r="345" spans="1:7" x14ac:dyDescent="0.2">
      <c r="A345" t="str">
        <f>"0121121028"</f>
        <v>0121121028</v>
      </c>
      <c r="B345" t="s">
        <v>60</v>
      </c>
      <c r="C345" t="str">
        <f t="shared" si="5"/>
        <v>19/09/01</v>
      </c>
      <c r="D345" t="str">
        <f>"MONTGOMERY"</f>
        <v>MONTGOMERY</v>
      </c>
      <c r="E345" s="4">
        <v>19.55</v>
      </c>
      <c r="F345" s="4">
        <v>0</v>
      </c>
      <c r="G345" s="4">
        <v>0</v>
      </c>
    </row>
    <row r="346" spans="1:7" x14ac:dyDescent="0.2">
      <c r="A346" t="str">
        <f>"0447334103"</f>
        <v>0447334103</v>
      </c>
      <c r="B346" t="s">
        <v>150</v>
      </c>
      <c r="C346" t="str">
        <f t="shared" si="5"/>
        <v>19/09/01</v>
      </c>
      <c r="D346" t="str">
        <f>"BROOME"</f>
        <v>BROOME</v>
      </c>
      <c r="E346" s="4">
        <v>22.58</v>
      </c>
      <c r="F346" s="4">
        <v>24.16</v>
      </c>
      <c r="G346" s="4">
        <v>276.52</v>
      </c>
    </row>
    <row r="347" spans="1:7" x14ac:dyDescent="0.2">
      <c r="A347" t="str">
        <f>"0420001519"</f>
        <v>0420001519</v>
      </c>
      <c r="B347" t="s">
        <v>177</v>
      </c>
      <c r="C347" t="str">
        <f t="shared" si="5"/>
        <v>19/09/01</v>
      </c>
      <c r="D347" t="str">
        <f>"GREENE"</f>
        <v>GREENE</v>
      </c>
      <c r="E347" s="4">
        <v>23.65</v>
      </c>
      <c r="F347" s="4">
        <v>25.77</v>
      </c>
      <c r="G347" s="4">
        <v>285.89</v>
      </c>
    </row>
    <row r="348" spans="1:7" x14ac:dyDescent="0.2">
      <c r="A348" t="str">
        <f>"0420001539"</f>
        <v>0420001539</v>
      </c>
      <c r="B348" t="s">
        <v>146</v>
      </c>
      <c r="C348" t="str">
        <f t="shared" si="5"/>
        <v>19/09/01</v>
      </c>
      <c r="D348" t="str">
        <f>"PUTNAM"</f>
        <v>PUTNAM</v>
      </c>
      <c r="E348" s="4">
        <v>25.78</v>
      </c>
      <c r="F348" s="4">
        <v>25.67</v>
      </c>
      <c r="G348" s="4">
        <v>285.8</v>
      </c>
    </row>
    <row r="349" spans="1:7" x14ac:dyDescent="0.2">
      <c r="A349" t="str">
        <f>"0420001543"</f>
        <v>0420001543</v>
      </c>
      <c r="B349" t="s">
        <v>146</v>
      </c>
      <c r="C349" t="str">
        <f t="shared" si="5"/>
        <v>19/09/01</v>
      </c>
      <c r="D349" t="str">
        <f>"ROCKLAND"</f>
        <v>ROCKLAND</v>
      </c>
      <c r="E349" s="4">
        <v>0</v>
      </c>
      <c r="F349" s="4">
        <v>0</v>
      </c>
      <c r="G349" s="4">
        <v>0</v>
      </c>
    </row>
    <row r="350" spans="1:7" x14ac:dyDescent="0.2">
      <c r="A350" t="str">
        <f>"0349929017"</f>
        <v>0349929017</v>
      </c>
      <c r="B350" t="s">
        <v>171</v>
      </c>
      <c r="C350" t="str">
        <f t="shared" si="5"/>
        <v>19/09/01</v>
      </c>
      <c r="D350" t="str">
        <f>"FULTON"</f>
        <v>FULTON</v>
      </c>
      <c r="E350" s="4">
        <v>0</v>
      </c>
      <c r="F350" s="4">
        <v>0</v>
      </c>
      <c r="G350" s="4">
        <v>0</v>
      </c>
    </row>
    <row r="351" spans="1:7" x14ac:dyDescent="0.2">
      <c r="A351" t="str">
        <f>"0349929028"</f>
        <v>0349929028</v>
      </c>
      <c r="B351" t="s">
        <v>135</v>
      </c>
      <c r="C351" t="str">
        <f t="shared" si="5"/>
        <v>19/09/01</v>
      </c>
      <c r="D351" t="str">
        <f>"MONTGOMERY"</f>
        <v>MONTGOMERY</v>
      </c>
      <c r="E351" s="4">
        <v>0</v>
      </c>
      <c r="F351" s="4">
        <v>0</v>
      </c>
      <c r="G351" s="4">
        <v>0</v>
      </c>
    </row>
    <row r="352" spans="1:7" x14ac:dyDescent="0.2">
      <c r="A352" t="str">
        <f>"0419753106"</f>
        <v>0419753106</v>
      </c>
      <c r="B352" t="s">
        <v>145</v>
      </c>
      <c r="C352" t="str">
        <f t="shared" si="5"/>
        <v>19/09/01</v>
      </c>
      <c r="D352" t="str">
        <f>"CHAUTAUQUA"</f>
        <v>CHAUTAUQUA</v>
      </c>
      <c r="E352" s="4">
        <v>29.85</v>
      </c>
      <c r="F352" s="4">
        <v>33</v>
      </c>
      <c r="G352" s="4">
        <v>386.41</v>
      </c>
    </row>
    <row r="353" spans="1:7" x14ac:dyDescent="0.2">
      <c r="A353" t="str">
        <f>"0106073712"</f>
        <v>0106073712</v>
      </c>
      <c r="B353" t="s">
        <v>49</v>
      </c>
      <c r="C353" t="str">
        <f t="shared" si="5"/>
        <v>19/09/01</v>
      </c>
      <c r="D353" t="str">
        <f>"DELAWARE"</f>
        <v>DELAWARE</v>
      </c>
      <c r="E353" s="4">
        <v>0</v>
      </c>
      <c r="F353" s="4">
        <v>0</v>
      </c>
      <c r="G353" s="4">
        <v>0</v>
      </c>
    </row>
    <row r="354" spans="1:7" x14ac:dyDescent="0.2">
      <c r="A354" t="str">
        <f>"0106073722"</f>
        <v>0106073722</v>
      </c>
      <c r="B354" t="s">
        <v>49</v>
      </c>
      <c r="C354" t="str">
        <f t="shared" si="5"/>
        <v>19/09/01</v>
      </c>
      <c r="D354" t="str">
        <f>"JEFFERSON"</f>
        <v>JEFFERSON</v>
      </c>
      <c r="E354" s="4">
        <v>0</v>
      </c>
      <c r="F354" s="4">
        <v>0</v>
      </c>
      <c r="G354" s="4">
        <v>0</v>
      </c>
    </row>
    <row r="355" spans="1:7" x14ac:dyDescent="0.2">
      <c r="A355" t="str">
        <f>"0106073724"</f>
        <v>0106073724</v>
      </c>
      <c r="B355" t="s">
        <v>49</v>
      </c>
      <c r="C355" t="str">
        <f t="shared" si="5"/>
        <v>19/09/01</v>
      </c>
      <c r="D355" t="str">
        <f>"LEWIS"</f>
        <v>LEWIS</v>
      </c>
      <c r="E355" s="4">
        <v>0</v>
      </c>
      <c r="F355" s="4">
        <v>0</v>
      </c>
      <c r="G355" s="4">
        <v>0</v>
      </c>
    </row>
    <row r="356" spans="1:7" x14ac:dyDescent="0.2">
      <c r="A356" t="str">
        <f>"0106073732"</f>
        <v>0106073732</v>
      </c>
      <c r="B356" t="s">
        <v>49</v>
      </c>
      <c r="C356" t="str">
        <f t="shared" si="5"/>
        <v>19/09/01</v>
      </c>
      <c r="D356" t="str">
        <f>"ONEIDA"</f>
        <v>ONEIDA</v>
      </c>
      <c r="E356" s="4">
        <v>0</v>
      </c>
      <c r="F356" s="4">
        <v>0</v>
      </c>
      <c r="G356" s="4">
        <v>0</v>
      </c>
    </row>
    <row r="357" spans="1:7" x14ac:dyDescent="0.2">
      <c r="A357" t="str">
        <f>"0106073738"</f>
        <v>0106073738</v>
      </c>
      <c r="B357" t="s">
        <v>49</v>
      </c>
      <c r="C357" t="str">
        <f t="shared" si="5"/>
        <v>19/09/01</v>
      </c>
      <c r="D357" t="str">
        <f>"OTSEGO"</f>
        <v>OTSEGO</v>
      </c>
      <c r="E357" s="4">
        <v>0</v>
      </c>
      <c r="F357" s="4">
        <v>0</v>
      </c>
      <c r="G357" s="4">
        <v>0</v>
      </c>
    </row>
    <row r="358" spans="1:7" x14ac:dyDescent="0.2">
      <c r="A358" t="str">
        <f>"0091093055"</f>
        <v>0091093055</v>
      </c>
      <c r="B358" t="s">
        <v>34</v>
      </c>
      <c r="C358" t="str">
        <f t="shared" si="5"/>
        <v>19/09/01</v>
      </c>
      <c r="D358" t="str">
        <f>"ULSTER"</f>
        <v>ULSTER</v>
      </c>
      <c r="E358" s="4">
        <v>0</v>
      </c>
      <c r="F358" s="4">
        <v>0</v>
      </c>
      <c r="G358" s="4">
        <v>0</v>
      </c>
    </row>
    <row r="359" spans="1:7" x14ac:dyDescent="0.2">
      <c r="A359" t="str">
        <f>"0174106016"</f>
        <v>0174106016</v>
      </c>
      <c r="B359" t="s">
        <v>90</v>
      </c>
      <c r="C359" t="str">
        <f t="shared" si="5"/>
        <v>19/09/01</v>
      </c>
      <c r="D359" t="str">
        <f>"FRANKLIN"</f>
        <v>FRANKLIN</v>
      </c>
      <c r="E359" s="4">
        <v>19.489999999999998</v>
      </c>
      <c r="F359" s="4">
        <v>0</v>
      </c>
      <c r="G359" s="4">
        <v>0</v>
      </c>
    </row>
    <row r="360" spans="1:7" x14ac:dyDescent="0.2">
      <c r="A360" t="str">
        <f>"0174106022"</f>
        <v>0174106022</v>
      </c>
      <c r="B360" t="s">
        <v>90</v>
      </c>
      <c r="C360" t="str">
        <f t="shared" si="5"/>
        <v>19/09/01</v>
      </c>
      <c r="D360" t="str">
        <f>"JEFFERSON"</f>
        <v>JEFFERSON</v>
      </c>
      <c r="E360" s="4">
        <v>17.39</v>
      </c>
      <c r="F360" s="4">
        <v>0</v>
      </c>
      <c r="G360" s="4">
        <v>0</v>
      </c>
    </row>
    <row r="361" spans="1:7" x14ac:dyDescent="0.2">
      <c r="A361" t="str">
        <f>"0174106044"</f>
        <v>0174106044</v>
      </c>
      <c r="B361" t="s">
        <v>90</v>
      </c>
      <c r="C361" t="str">
        <f t="shared" si="5"/>
        <v>19/09/01</v>
      </c>
      <c r="D361" t="str">
        <f>"ST LAWRENCE"</f>
        <v>ST LAWRENCE</v>
      </c>
      <c r="E361" s="4">
        <v>17.670000000000002</v>
      </c>
      <c r="F361" s="4">
        <v>0</v>
      </c>
      <c r="G361" s="4">
        <v>0</v>
      </c>
    </row>
    <row r="362" spans="1:7" x14ac:dyDescent="0.2">
      <c r="A362" t="str">
        <f>"0296962044"</f>
        <v>0296962044</v>
      </c>
      <c r="B362" t="s">
        <v>126</v>
      </c>
      <c r="C362" t="str">
        <f t="shared" si="5"/>
        <v>19/09/01</v>
      </c>
      <c r="D362" t="str">
        <f>"ST LAWRENCE"</f>
        <v>ST LAWRENCE</v>
      </c>
      <c r="E362" s="4">
        <v>0</v>
      </c>
      <c r="F362" s="4">
        <v>0</v>
      </c>
      <c r="G362" s="4">
        <v>0</v>
      </c>
    </row>
    <row r="363" spans="1:7" x14ac:dyDescent="0.2">
      <c r="A363" t="str">
        <f>"0293869027"</f>
        <v>0293869027</v>
      </c>
      <c r="B363" t="s">
        <v>125</v>
      </c>
      <c r="C363" t="str">
        <f t="shared" si="5"/>
        <v>19/09/01</v>
      </c>
      <c r="D363" t="str">
        <f>"MONROE"</f>
        <v>MONROE</v>
      </c>
      <c r="E363" s="4">
        <v>0</v>
      </c>
      <c r="F363" s="4">
        <v>0</v>
      </c>
      <c r="G363" s="4">
        <v>0</v>
      </c>
    </row>
    <row r="364" spans="1:7" x14ac:dyDescent="0.2">
      <c r="A364" t="str">
        <f>"0035491201"</f>
        <v>0035491201</v>
      </c>
      <c r="B364" t="s">
        <v>7</v>
      </c>
      <c r="C364" t="str">
        <f t="shared" si="5"/>
        <v>19/09/01</v>
      </c>
      <c r="D364" t="str">
        <f>"ALBANY"</f>
        <v>ALBANY</v>
      </c>
      <c r="E364" s="4">
        <v>24.5</v>
      </c>
      <c r="F364" s="4">
        <v>26.08</v>
      </c>
      <c r="G364" s="4">
        <v>296.89999999999998</v>
      </c>
    </row>
    <row r="365" spans="1:7" x14ac:dyDescent="0.2">
      <c r="A365" t="str">
        <f>"0035491210"</f>
        <v>0035491210</v>
      </c>
      <c r="B365" t="s">
        <v>7</v>
      </c>
      <c r="C365" t="str">
        <f t="shared" si="5"/>
        <v>19/09/01</v>
      </c>
      <c r="D365" t="str">
        <f>"COLUMBIA"</f>
        <v>COLUMBIA</v>
      </c>
      <c r="E365" s="4">
        <v>19.87</v>
      </c>
      <c r="F365" s="4">
        <v>27.43</v>
      </c>
      <c r="G365" s="4">
        <v>320.39999999999998</v>
      </c>
    </row>
    <row r="366" spans="1:7" x14ac:dyDescent="0.2">
      <c r="A366" t="str">
        <f>"0035491212"</f>
        <v>0035491212</v>
      </c>
      <c r="B366" t="s">
        <v>7</v>
      </c>
      <c r="C366" t="str">
        <f t="shared" si="5"/>
        <v>19/09/01</v>
      </c>
      <c r="D366" t="str">
        <f>"DELAWARE"</f>
        <v>DELAWARE</v>
      </c>
      <c r="E366" s="4">
        <v>23.84</v>
      </c>
      <c r="F366" s="4">
        <v>25.41</v>
      </c>
      <c r="G366" s="4">
        <v>295.33999999999997</v>
      </c>
    </row>
    <row r="367" spans="1:7" x14ac:dyDescent="0.2">
      <c r="A367" t="str">
        <f>"0035491213"</f>
        <v>0035491213</v>
      </c>
      <c r="B367" t="s">
        <v>7</v>
      </c>
      <c r="C367" t="str">
        <f t="shared" si="5"/>
        <v>19/09/01</v>
      </c>
      <c r="D367" t="str">
        <f>"DUTCHESS"</f>
        <v>DUTCHESS</v>
      </c>
      <c r="E367" s="4">
        <v>19.18</v>
      </c>
      <c r="F367" s="4">
        <v>21.2</v>
      </c>
      <c r="G367" s="4">
        <v>251.32</v>
      </c>
    </row>
    <row r="368" spans="1:7" x14ac:dyDescent="0.2">
      <c r="A368" t="str">
        <f>"0035491218"</f>
        <v>0035491218</v>
      </c>
      <c r="B368" t="s">
        <v>7</v>
      </c>
      <c r="C368" t="str">
        <f t="shared" si="5"/>
        <v>19/09/01</v>
      </c>
      <c r="D368" t="str">
        <f>"GENESEE"</f>
        <v>GENESEE</v>
      </c>
      <c r="E368" s="4">
        <v>29.86</v>
      </c>
      <c r="F368" s="4">
        <v>31.92</v>
      </c>
      <c r="G368" s="4">
        <v>370.05</v>
      </c>
    </row>
    <row r="369" spans="1:7" x14ac:dyDescent="0.2">
      <c r="A369" t="str">
        <f>"0035491219"</f>
        <v>0035491219</v>
      </c>
      <c r="B369" t="s">
        <v>7</v>
      </c>
      <c r="C369" t="str">
        <f t="shared" si="5"/>
        <v>19/09/01</v>
      </c>
      <c r="D369" t="str">
        <f>"GREENE"</f>
        <v>GREENE</v>
      </c>
      <c r="E369" s="4">
        <v>17.39</v>
      </c>
      <c r="F369" s="4">
        <v>27.69</v>
      </c>
      <c r="G369" s="4">
        <v>302.69</v>
      </c>
    </row>
    <row r="370" spans="1:7" x14ac:dyDescent="0.2">
      <c r="A370" t="str">
        <f>"0035491225"</f>
        <v>0035491225</v>
      </c>
      <c r="B370" t="s">
        <v>7</v>
      </c>
      <c r="C370" t="str">
        <f t="shared" si="5"/>
        <v>19/09/01</v>
      </c>
      <c r="D370" t="str">
        <f>"LIVINGSTON"</f>
        <v>LIVINGSTON</v>
      </c>
      <c r="E370" s="4">
        <v>25.18</v>
      </c>
      <c r="F370" s="4">
        <v>27.61</v>
      </c>
      <c r="G370" s="4">
        <v>311.20999999999998</v>
      </c>
    </row>
    <row r="371" spans="1:7" x14ac:dyDescent="0.2">
      <c r="A371" t="str">
        <f>"0035491227"</f>
        <v>0035491227</v>
      </c>
      <c r="B371" t="s">
        <v>7</v>
      </c>
      <c r="C371" t="str">
        <f t="shared" si="5"/>
        <v>19/09/01</v>
      </c>
      <c r="D371" t="str">
        <f>"MONROE"</f>
        <v>MONROE</v>
      </c>
      <c r="E371" s="4">
        <v>19.21</v>
      </c>
      <c r="F371" s="4">
        <v>27.46</v>
      </c>
      <c r="G371" s="4">
        <v>309.45999999999998</v>
      </c>
    </row>
    <row r="372" spans="1:7" x14ac:dyDescent="0.2">
      <c r="A372" t="str">
        <f>"0035491229"</f>
        <v>0035491229</v>
      </c>
      <c r="B372" t="s">
        <v>7</v>
      </c>
      <c r="C372" t="str">
        <f t="shared" si="5"/>
        <v>19/09/01</v>
      </c>
      <c r="D372" t="str">
        <f>"NASSAU"</f>
        <v>NASSAU</v>
      </c>
      <c r="E372" s="4">
        <v>27.43</v>
      </c>
      <c r="F372" s="4">
        <v>29.95</v>
      </c>
      <c r="G372" s="4">
        <v>340.93</v>
      </c>
    </row>
    <row r="373" spans="1:7" x14ac:dyDescent="0.2">
      <c r="A373" t="str">
        <f>"0035491234"</f>
        <v>0035491234</v>
      </c>
      <c r="B373" t="s">
        <v>7</v>
      </c>
      <c r="C373" t="str">
        <f t="shared" si="5"/>
        <v>19/09/01</v>
      </c>
      <c r="D373" t="str">
        <f>"ONTARIO"</f>
        <v>ONTARIO</v>
      </c>
      <c r="E373" s="4">
        <v>29.86</v>
      </c>
      <c r="F373" s="4">
        <v>31.92</v>
      </c>
      <c r="G373" s="4">
        <v>370.05</v>
      </c>
    </row>
    <row r="374" spans="1:7" x14ac:dyDescent="0.2">
      <c r="A374" t="str">
        <f>"0035491235"</f>
        <v>0035491235</v>
      </c>
      <c r="B374" t="s">
        <v>7</v>
      </c>
      <c r="C374" t="str">
        <f t="shared" si="5"/>
        <v>19/09/01</v>
      </c>
      <c r="D374" t="str">
        <f>"ORANGE"</f>
        <v>ORANGE</v>
      </c>
      <c r="E374" s="4">
        <v>19.260000000000002</v>
      </c>
      <c r="F374" s="4">
        <v>28.07</v>
      </c>
      <c r="G374" s="4">
        <v>320.45</v>
      </c>
    </row>
    <row r="375" spans="1:7" x14ac:dyDescent="0.2">
      <c r="A375" t="str">
        <f>"0035491239"</f>
        <v>0035491239</v>
      </c>
      <c r="B375" t="s">
        <v>7</v>
      </c>
      <c r="C375" t="str">
        <f t="shared" si="5"/>
        <v>19/09/01</v>
      </c>
      <c r="D375" t="str">
        <f>"PUTNAM"</f>
        <v>PUTNAM</v>
      </c>
      <c r="E375" s="4">
        <v>18.829999999999998</v>
      </c>
      <c r="F375" s="4">
        <v>20.52</v>
      </c>
      <c r="G375" s="4">
        <v>219.4</v>
      </c>
    </row>
    <row r="376" spans="1:7" x14ac:dyDescent="0.2">
      <c r="A376" t="str">
        <f>"0035491243"</f>
        <v>0035491243</v>
      </c>
      <c r="B376" t="s">
        <v>7</v>
      </c>
      <c r="C376" t="str">
        <f t="shared" si="5"/>
        <v>19/09/01</v>
      </c>
      <c r="D376" t="str">
        <f>"ROCKLAND"</f>
        <v>ROCKLAND</v>
      </c>
      <c r="E376" s="4">
        <v>25.9</v>
      </c>
      <c r="F376" s="4">
        <v>26.45</v>
      </c>
      <c r="G376" s="4">
        <v>322.08</v>
      </c>
    </row>
    <row r="377" spans="1:7" x14ac:dyDescent="0.2">
      <c r="A377" t="str">
        <f>"0035491250"</f>
        <v>0035491250</v>
      </c>
      <c r="B377" t="s">
        <v>7</v>
      </c>
      <c r="C377" t="str">
        <f t="shared" si="5"/>
        <v>19/09/01</v>
      </c>
      <c r="D377" t="str">
        <f>"STEUBEN"</f>
        <v>STEUBEN</v>
      </c>
      <c r="E377" s="4">
        <v>29.86</v>
      </c>
      <c r="F377" s="4">
        <v>31.92</v>
      </c>
      <c r="G377" s="4">
        <v>370.05</v>
      </c>
    </row>
    <row r="378" spans="1:7" x14ac:dyDescent="0.2">
      <c r="A378" t="str">
        <f>"0035491251"</f>
        <v>0035491251</v>
      </c>
      <c r="B378" t="s">
        <v>7</v>
      </c>
      <c r="C378" t="str">
        <f t="shared" si="5"/>
        <v>19/09/01</v>
      </c>
      <c r="D378" t="str">
        <f>"SUFFOLK"</f>
        <v>SUFFOLK</v>
      </c>
      <c r="E378" s="4">
        <v>27.31</v>
      </c>
      <c r="F378" s="4">
        <v>28.7</v>
      </c>
      <c r="G378" s="4">
        <v>339.32</v>
      </c>
    </row>
    <row r="379" spans="1:7" x14ac:dyDescent="0.2">
      <c r="A379" t="str">
        <f>"0035491255"</f>
        <v>0035491255</v>
      </c>
      <c r="B379" t="s">
        <v>7</v>
      </c>
      <c r="C379" t="str">
        <f t="shared" si="5"/>
        <v>19/09/01</v>
      </c>
      <c r="D379" t="str">
        <f>"ULSTER"</f>
        <v>ULSTER</v>
      </c>
      <c r="E379" s="4">
        <v>18.739999999999998</v>
      </c>
      <c r="F379" s="4">
        <v>27.21</v>
      </c>
      <c r="G379" s="4">
        <v>325.58999999999997</v>
      </c>
    </row>
    <row r="380" spans="1:7" x14ac:dyDescent="0.2">
      <c r="A380" t="str">
        <f>"0035491259"</f>
        <v>0035491259</v>
      </c>
      <c r="B380" t="s">
        <v>7</v>
      </c>
      <c r="C380" t="str">
        <f t="shared" si="5"/>
        <v>19/09/01</v>
      </c>
      <c r="D380" t="str">
        <f>"WESTCHESTER"</f>
        <v>WESTCHESTER</v>
      </c>
      <c r="E380" s="4">
        <v>22.75</v>
      </c>
      <c r="F380" s="4">
        <v>28.71</v>
      </c>
      <c r="G380" s="4">
        <v>346.65</v>
      </c>
    </row>
    <row r="381" spans="1:7" x14ac:dyDescent="0.2">
      <c r="A381" t="str">
        <f>"0113351329"</f>
        <v>0113351329</v>
      </c>
      <c r="B381" t="s">
        <v>56</v>
      </c>
      <c r="C381" t="str">
        <f t="shared" si="5"/>
        <v>19/09/01</v>
      </c>
      <c r="D381" t="str">
        <f>"NASSAU"</f>
        <v>NASSAU</v>
      </c>
      <c r="E381" s="4">
        <v>26.57</v>
      </c>
      <c r="F381" s="4">
        <v>27.71</v>
      </c>
      <c r="G381" s="4">
        <v>341.02</v>
      </c>
    </row>
    <row r="382" spans="1:7" x14ac:dyDescent="0.2">
      <c r="A382" t="str">
        <f>"0113351351"</f>
        <v>0113351351</v>
      </c>
      <c r="B382" t="s">
        <v>56</v>
      </c>
      <c r="C382" t="str">
        <f t="shared" si="5"/>
        <v>19/09/01</v>
      </c>
      <c r="D382" t="str">
        <f>"SUFFOLK"</f>
        <v>SUFFOLK</v>
      </c>
      <c r="E382" s="4">
        <v>24.21</v>
      </c>
      <c r="F382" s="4">
        <v>28.29</v>
      </c>
      <c r="G382" s="4">
        <v>348.94</v>
      </c>
    </row>
    <row r="383" spans="1:7" x14ac:dyDescent="0.2">
      <c r="A383" t="str">
        <f>"0072228929"</f>
        <v>0072228929</v>
      </c>
      <c r="B383" t="s">
        <v>21</v>
      </c>
      <c r="C383" t="str">
        <f t="shared" si="5"/>
        <v>19/09/01</v>
      </c>
      <c r="D383" t="str">
        <f>"NASSAU"</f>
        <v>NASSAU</v>
      </c>
      <c r="E383" s="4">
        <v>0</v>
      </c>
      <c r="F383" s="4">
        <v>0</v>
      </c>
      <c r="G383" s="4">
        <v>0</v>
      </c>
    </row>
    <row r="384" spans="1:7" x14ac:dyDescent="0.2">
      <c r="A384" t="str">
        <f>"0090863643"</f>
        <v>0090863643</v>
      </c>
      <c r="B384" t="s">
        <v>21</v>
      </c>
      <c r="C384" t="str">
        <f t="shared" si="5"/>
        <v>19/09/01</v>
      </c>
      <c r="D384" t="str">
        <f>"ROCKLAND"</f>
        <v>ROCKLAND</v>
      </c>
      <c r="E384" s="4">
        <v>25.28</v>
      </c>
      <c r="F384" s="4">
        <v>25.82</v>
      </c>
      <c r="G384" s="4">
        <v>326.89999999999998</v>
      </c>
    </row>
    <row r="385" spans="1:7" x14ac:dyDescent="0.2">
      <c r="A385" t="str">
        <f>"0078581959"</f>
        <v>0078581959</v>
      </c>
      <c r="B385" t="s">
        <v>21</v>
      </c>
      <c r="C385" t="str">
        <f t="shared" si="5"/>
        <v>19/09/01</v>
      </c>
      <c r="D385" t="str">
        <f>"WESTCHESTER"</f>
        <v>WESTCHESTER</v>
      </c>
      <c r="E385" s="4">
        <v>24.27</v>
      </c>
      <c r="F385" s="4">
        <v>26.12</v>
      </c>
      <c r="G385" s="4">
        <v>313.12</v>
      </c>
    </row>
    <row r="386" spans="1:7" x14ac:dyDescent="0.2">
      <c r="A386" t="str">
        <f>"0342700759"</f>
        <v>0342700759</v>
      </c>
      <c r="B386" t="s">
        <v>170</v>
      </c>
      <c r="C386" t="str">
        <f t="shared" si="5"/>
        <v>19/09/01</v>
      </c>
      <c r="D386" t="str">
        <f>"WESTCHESTER"</f>
        <v>WESTCHESTER</v>
      </c>
      <c r="E386" s="4">
        <v>19.420000000000002</v>
      </c>
      <c r="F386" s="4">
        <v>20.14</v>
      </c>
      <c r="G386" s="4">
        <v>350.53</v>
      </c>
    </row>
    <row r="387" spans="1:7" x14ac:dyDescent="0.2">
      <c r="A387" t="str">
        <f>"0170109101"</f>
        <v>0170109101</v>
      </c>
      <c r="B387" t="s">
        <v>83</v>
      </c>
      <c r="C387" t="str">
        <f t="shared" si="5"/>
        <v>19/09/01</v>
      </c>
      <c r="D387" t="str">
        <f>"ALBANY"</f>
        <v>ALBANY</v>
      </c>
      <c r="E387" s="4">
        <v>20.47</v>
      </c>
      <c r="F387" s="4">
        <v>22.06</v>
      </c>
      <c r="G387" s="4">
        <v>320.45999999999998</v>
      </c>
    </row>
    <row r="388" spans="1:7" x14ac:dyDescent="0.2">
      <c r="A388" t="str">
        <f>"0170109110"</f>
        <v>0170109110</v>
      </c>
      <c r="B388" t="s">
        <v>83</v>
      </c>
      <c r="C388" t="str">
        <f t="shared" si="5"/>
        <v>19/09/01</v>
      </c>
      <c r="D388" t="str">
        <f>"COLUMBIA"</f>
        <v>COLUMBIA</v>
      </c>
      <c r="E388" s="4">
        <v>27.66</v>
      </c>
      <c r="F388" s="4">
        <v>29.24</v>
      </c>
      <c r="G388" s="4">
        <v>290.27999999999997</v>
      </c>
    </row>
    <row r="389" spans="1:7" x14ac:dyDescent="0.2">
      <c r="A389" t="str">
        <f>"0170109112"</f>
        <v>0170109112</v>
      </c>
      <c r="B389" t="s">
        <v>83</v>
      </c>
      <c r="C389" t="str">
        <f t="shared" si="5"/>
        <v>19/09/01</v>
      </c>
      <c r="D389" t="str">
        <f>"DELAWARE"</f>
        <v>DELAWARE</v>
      </c>
      <c r="E389" s="4">
        <v>21.41</v>
      </c>
      <c r="F389" s="4">
        <v>22.32</v>
      </c>
      <c r="G389" s="4">
        <v>328.02</v>
      </c>
    </row>
    <row r="390" spans="1:7" x14ac:dyDescent="0.2">
      <c r="A390" t="str">
        <f>"0170109117"</f>
        <v>0170109117</v>
      </c>
      <c r="B390" t="s">
        <v>83</v>
      </c>
      <c r="C390" t="str">
        <f t="shared" ref="C390:C415" si="6">"19/09/01"</f>
        <v>19/09/01</v>
      </c>
      <c r="D390" t="str">
        <f>"FULTON"</f>
        <v>FULTON</v>
      </c>
      <c r="E390" s="4">
        <v>20.23</v>
      </c>
      <c r="F390" s="4">
        <v>20.88</v>
      </c>
      <c r="G390" s="4">
        <v>329.57</v>
      </c>
    </row>
    <row r="391" spans="1:7" x14ac:dyDescent="0.2">
      <c r="A391" t="str">
        <f>"0170109119"</f>
        <v>0170109119</v>
      </c>
      <c r="B391" t="s">
        <v>83</v>
      </c>
      <c r="C391" t="str">
        <f t="shared" si="6"/>
        <v>19/09/01</v>
      </c>
      <c r="D391" t="str">
        <f>"GREENE"</f>
        <v>GREENE</v>
      </c>
      <c r="E391" s="4">
        <v>20.46</v>
      </c>
      <c r="F391" s="4">
        <v>22.2</v>
      </c>
      <c r="G391" s="4">
        <v>317.37</v>
      </c>
    </row>
    <row r="392" spans="1:7" x14ac:dyDescent="0.2">
      <c r="A392" t="str">
        <f>"0170109128"</f>
        <v>0170109128</v>
      </c>
      <c r="B392" t="s">
        <v>83</v>
      </c>
      <c r="C392" t="str">
        <f t="shared" si="6"/>
        <v>19/09/01</v>
      </c>
      <c r="D392" t="str">
        <f>"MONTGOMERY"</f>
        <v>MONTGOMERY</v>
      </c>
      <c r="E392" s="4">
        <v>20.29</v>
      </c>
      <c r="F392" s="4">
        <v>21.28</v>
      </c>
      <c r="G392" s="4">
        <v>320.73</v>
      </c>
    </row>
    <row r="393" spans="1:7" x14ac:dyDescent="0.2">
      <c r="A393" t="str">
        <f>"0170109138"</f>
        <v>0170109138</v>
      </c>
      <c r="B393" t="s">
        <v>83</v>
      </c>
      <c r="C393" t="str">
        <f t="shared" si="6"/>
        <v>19/09/01</v>
      </c>
      <c r="D393" t="str">
        <f>"OTSEGO"</f>
        <v>OTSEGO</v>
      </c>
      <c r="E393" s="4">
        <v>22.73</v>
      </c>
      <c r="F393" s="4">
        <v>24.32</v>
      </c>
      <c r="G393" s="4">
        <v>322.99</v>
      </c>
    </row>
    <row r="394" spans="1:7" x14ac:dyDescent="0.2">
      <c r="A394" t="str">
        <f>"0170109141"</f>
        <v>0170109141</v>
      </c>
      <c r="B394" t="s">
        <v>83</v>
      </c>
      <c r="C394" t="str">
        <f t="shared" si="6"/>
        <v>19/09/01</v>
      </c>
      <c r="D394" t="str">
        <f>"RENSSELAER"</f>
        <v>RENSSELAER</v>
      </c>
      <c r="E394" s="4">
        <v>20.22</v>
      </c>
      <c r="F394" s="4">
        <v>20.87</v>
      </c>
      <c r="G394" s="4">
        <v>326.22000000000003</v>
      </c>
    </row>
    <row r="395" spans="1:7" x14ac:dyDescent="0.2">
      <c r="A395" t="str">
        <f>"0170109145"</f>
        <v>0170109145</v>
      </c>
      <c r="B395" t="s">
        <v>83</v>
      </c>
      <c r="C395" t="str">
        <f t="shared" si="6"/>
        <v>19/09/01</v>
      </c>
      <c r="D395" t="str">
        <f>"SARATOGA"</f>
        <v>SARATOGA</v>
      </c>
      <c r="E395" s="4">
        <v>20.41</v>
      </c>
      <c r="F395" s="4">
        <v>22</v>
      </c>
      <c r="G395" s="4">
        <v>318.77</v>
      </c>
    </row>
    <row r="396" spans="1:7" x14ac:dyDescent="0.2">
      <c r="A396" t="str">
        <f>"0170109146"</f>
        <v>0170109146</v>
      </c>
      <c r="B396" t="s">
        <v>83</v>
      </c>
      <c r="C396" t="str">
        <f t="shared" si="6"/>
        <v>19/09/01</v>
      </c>
      <c r="D396" t="str">
        <f>"SCHENECTADY"</f>
        <v>SCHENECTADY</v>
      </c>
      <c r="E396" s="4">
        <v>20.22</v>
      </c>
      <c r="F396" s="4">
        <v>20.84</v>
      </c>
      <c r="G396" s="4">
        <v>308.68</v>
      </c>
    </row>
    <row r="397" spans="1:7" x14ac:dyDescent="0.2">
      <c r="A397" t="str">
        <f>"0170109147"</f>
        <v>0170109147</v>
      </c>
      <c r="B397" t="s">
        <v>83</v>
      </c>
      <c r="C397" t="str">
        <f t="shared" si="6"/>
        <v>19/09/01</v>
      </c>
      <c r="D397" t="str">
        <f>"SCHOHARIE"</f>
        <v>SCHOHARIE</v>
      </c>
      <c r="E397" s="4">
        <v>20.329999999999998</v>
      </c>
      <c r="F397" s="4">
        <v>21.55</v>
      </c>
      <c r="G397" s="4">
        <v>315.69</v>
      </c>
    </row>
    <row r="398" spans="1:7" x14ac:dyDescent="0.2">
      <c r="A398" t="str">
        <f>"0170109156"</f>
        <v>0170109156</v>
      </c>
      <c r="B398" t="s">
        <v>83</v>
      </c>
      <c r="C398" t="str">
        <f t="shared" si="6"/>
        <v>19/09/01</v>
      </c>
      <c r="D398" t="str">
        <f>"WARREN"</f>
        <v>WARREN</v>
      </c>
      <c r="E398" s="4">
        <v>20.39</v>
      </c>
      <c r="F398" s="4">
        <v>21.92</v>
      </c>
      <c r="G398" s="4">
        <v>317.95999999999998</v>
      </c>
    </row>
    <row r="399" spans="1:7" x14ac:dyDescent="0.2">
      <c r="A399" t="str">
        <f>"0170109157"</f>
        <v>0170109157</v>
      </c>
      <c r="B399" t="s">
        <v>83</v>
      </c>
      <c r="C399" t="str">
        <f t="shared" si="6"/>
        <v>19/09/01</v>
      </c>
      <c r="D399" t="str">
        <f>"WASHINGTON"</f>
        <v>WASHINGTON</v>
      </c>
      <c r="E399" s="4">
        <v>20.38</v>
      </c>
      <c r="F399" s="4">
        <v>21.89</v>
      </c>
      <c r="G399" s="4">
        <v>320.39999999999998</v>
      </c>
    </row>
    <row r="400" spans="1:7" x14ac:dyDescent="0.2">
      <c r="A400" t="str">
        <f>"0166045759"</f>
        <v>0166045759</v>
      </c>
      <c r="B400" t="s">
        <v>78</v>
      </c>
      <c r="C400" t="str">
        <f t="shared" si="6"/>
        <v>19/09/01</v>
      </c>
      <c r="D400" t="str">
        <f>"WESTCHESTER"</f>
        <v>WESTCHESTER</v>
      </c>
      <c r="E400" s="4">
        <v>0</v>
      </c>
      <c r="F400" s="4">
        <v>0</v>
      </c>
      <c r="G400" s="4">
        <v>0</v>
      </c>
    </row>
    <row r="401" spans="1:7" x14ac:dyDescent="0.2">
      <c r="A401" t="str">
        <f>"0417181758"</f>
        <v>0417181758</v>
      </c>
      <c r="B401" t="s">
        <v>141</v>
      </c>
      <c r="C401" t="str">
        <f t="shared" si="6"/>
        <v>19/09/01</v>
      </c>
      <c r="D401" t="str">
        <f>"WAYNE"</f>
        <v>WAYNE</v>
      </c>
      <c r="E401" s="4">
        <v>16.850000000000001</v>
      </c>
      <c r="F401" s="4">
        <v>0</v>
      </c>
      <c r="G401" s="4">
        <v>0</v>
      </c>
    </row>
    <row r="402" spans="1:7" x14ac:dyDescent="0.2">
      <c r="A402" t="str">
        <f>"0145838259"</f>
        <v>0145838259</v>
      </c>
      <c r="B402" t="s">
        <v>69</v>
      </c>
      <c r="C402" t="str">
        <f t="shared" si="6"/>
        <v>19/09/01</v>
      </c>
      <c r="D402" t="str">
        <f>"WESTCHESTER"</f>
        <v>WESTCHESTER</v>
      </c>
      <c r="E402" s="4">
        <v>23</v>
      </c>
      <c r="F402" s="4">
        <v>0</v>
      </c>
      <c r="G402" s="4">
        <v>0</v>
      </c>
    </row>
    <row r="403" spans="1:7" x14ac:dyDescent="0.2">
      <c r="A403" t="str">
        <f>"0240778944"</f>
        <v>0240778944</v>
      </c>
      <c r="B403" t="s">
        <v>116</v>
      </c>
      <c r="C403" t="str">
        <f t="shared" si="6"/>
        <v>19/09/01</v>
      </c>
      <c r="D403" t="str">
        <f>"ST LAWRENCE"</f>
        <v>ST LAWRENCE</v>
      </c>
      <c r="E403" s="4">
        <v>18.989999999999998</v>
      </c>
      <c r="F403" s="4">
        <v>0</v>
      </c>
      <c r="G403" s="4">
        <v>0</v>
      </c>
    </row>
    <row r="404" spans="1:7" x14ac:dyDescent="0.2">
      <c r="A404" t="str">
        <f>"0240778960"</f>
        <v>0240778960</v>
      </c>
      <c r="B404" t="s">
        <v>116</v>
      </c>
      <c r="C404" t="str">
        <f t="shared" si="6"/>
        <v>19/09/01</v>
      </c>
      <c r="D404" t="str">
        <f>"WYOMING"</f>
        <v>WYOMING</v>
      </c>
      <c r="E404" s="4">
        <v>19.27</v>
      </c>
      <c r="F404" s="4">
        <v>0</v>
      </c>
      <c r="G404" s="4">
        <v>0</v>
      </c>
    </row>
    <row r="405" spans="1:7" x14ac:dyDescent="0.2">
      <c r="A405" t="str">
        <f>"0240778916"</f>
        <v>0240778916</v>
      </c>
      <c r="B405" t="s">
        <v>115</v>
      </c>
      <c r="C405" t="str">
        <f t="shared" si="6"/>
        <v>19/09/01</v>
      </c>
      <c r="D405" t="str">
        <f>"FRANKLIN"</f>
        <v>FRANKLIN</v>
      </c>
      <c r="E405" s="4">
        <v>18.98</v>
      </c>
      <c r="F405" s="4">
        <v>0</v>
      </c>
      <c r="G405" s="4">
        <v>0</v>
      </c>
    </row>
    <row r="406" spans="1:7" x14ac:dyDescent="0.2">
      <c r="A406" t="str">
        <f>"0240778931"</f>
        <v>0240778931</v>
      </c>
      <c r="B406" t="s">
        <v>115</v>
      </c>
      <c r="C406" t="str">
        <f t="shared" si="6"/>
        <v>19/09/01</v>
      </c>
      <c r="D406" t="str">
        <f>"NIAGARA"</f>
        <v>NIAGARA</v>
      </c>
      <c r="E406" s="4">
        <v>19.05</v>
      </c>
      <c r="F406" s="4">
        <v>0</v>
      </c>
      <c r="G406" s="4">
        <v>0</v>
      </c>
    </row>
    <row r="407" spans="1:7" x14ac:dyDescent="0.2">
      <c r="A407" t="str">
        <f>"0424451543"</f>
        <v>0424451543</v>
      </c>
      <c r="B407" t="s">
        <v>148</v>
      </c>
      <c r="C407" t="str">
        <f t="shared" si="6"/>
        <v>19/09/01</v>
      </c>
      <c r="D407" t="str">
        <f>"ROCKLAND"</f>
        <v>ROCKLAND</v>
      </c>
      <c r="E407" s="4">
        <v>22.44</v>
      </c>
      <c r="F407" s="4">
        <v>23</v>
      </c>
      <c r="G407" s="4">
        <v>0</v>
      </c>
    </row>
    <row r="408" spans="1:7" x14ac:dyDescent="0.2">
      <c r="A408" t="str">
        <f>"0081106902"</f>
        <v>0081106902</v>
      </c>
      <c r="B408" t="s">
        <v>159</v>
      </c>
      <c r="C408" t="str">
        <f t="shared" si="6"/>
        <v>19/09/01</v>
      </c>
      <c r="D408" t="str">
        <f>"ALLEGANY"</f>
        <v>ALLEGANY</v>
      </c>
      <c r="E408" s="4">
        <v>20.76</v>
      </c>
      <c r="F408" s="4">
        <v>22.16</v>
      </c>
      <c r="G408" s="4">
        <v>238.94</v>
      </c>
    </row>
    <row r="409" spans="1:7" x14ac:dyDescent="0.2">
      <c r="A409" t="str">
        <f>"0081106904"</f>
        <v>0081106904</v>
      </c>
      <c r="B409" t="s">
        <v>160</v>
      </c>
      <c r="C409" t="str">
        <f t="shared" si="6"/>
        <v>19/09/01</v>
      </c>
      <c r="D409" t="str">
        <f>"CATTARAUGUS"</f>
        <v>CATTARAUGUS</v>
      </c>
      <c r="E409" s="4">
        <v>17.97</v>
      </c>
      <c r="F409" s="4">
        <v>22.17</v>
      </c>
      <c r="G409" s="4">
        <v>239.23</v>
      </c>
    </row>
    <row r="410" spans="1:7" x14ac:dyDescent="0.2">
      <c r="A410" t="str">
        <f>"0081106906"</f>
        <v>0081106906</v>
      </c>
      <c r="B410" t="s">
        <v>160</v>
      </c>
      <c r="C410" t="str">
        <f t="shared" si="6"/>
        <v>19/09/01</v>
      </c>
      <c r="D410" t="str">
        <f>"CHAUTAUQUA"</f>
        <v>CHAUTAUQUA</v>
      </c>
      <c r="E410" s="4">
        <v>18.89</v>
      </c>
      <c r="F410" s="4">
        <v>22.41</v>
      </c>
      <c r="G410" s="4">
        <v>253.49</v>
      </c>
    </row>
    <row r="411" spans="1:7" x14ac:dyDescent="0.2">
      <c r="A411" t="str">
        <f>"0081106914"</f>
        <v>0081106914</v>
      </c>
      <c r="B411" t="s">
        <v>160</v>
      </c>
      <c r="C411" t="str">
        <f t="shared" si="6"/>
        <v>19/09/01</v>
      </c>
      <c r="D411" t="str">
        <f>"ERIE"</f>
        <v>ERIE</v>
      </c>
      <c r="E411" s="4">
        <v>17.72</v>
      </c>
      <c r="F411" s="4">
        <v>22.94</v>
      </c>
      <c r="G411" s="4">
        <v>223.59</v>
      </c>
    </row>
    <row r="412" spans="1:7" x14ac:dyDescent="0.2">
      <c r="A412" t="str">
        <f>"0081106918"</f>
        <v>0081106918</v>
      </c>
      <c r="B412" t="s">
        <v>160</v>
      </c>
      <c r="C412" t="str">
        <f t="shared" si="6"/>
        <v>19/09/01</v>
      </c>
      <c r="D412" t="str">
        <f>"GENESEE"</f>
        <v>GENESEE</v>
      </c>
      <c r="E412" s="4">
        <v>19.59</v>
      </c>
      <c r="F412" s="4">
        <v>22.95</v>
      </c>
      <c r="G412" s="4">
        <v>223.7</v>
      </c>
    </row>
    <row r="413" spans="1:7" x14ac:dyDescent="0.2">
      <c r="A413" t="str">
        <f>"0081106931"</f>
        <v>0081106931</v>
      </c>
      <c r="B413" t="s">
        <v>160</v>
      </c>
      <c r="C413" t="str">
        <f t="shared" si="6"/>
        <v>19/09/01</v>
      </c>
      <c r="D413" t="str">
        <f>"NIAGARA"</f>
        <v>NIAGARA</v>
      </c>
      <c r="E413" s="4">
        <v>19.39</v>
      </c>
      <c r="F413" s="4">
        <v>22.49</v>
      </c>
      <c r="G413" s="4">
        <v>257.74</v>
      </c>
    </row>
    <row r="414" spans="1:7" x14ac:dyDescent="0.2">
      <c r="A414" t="str">
        <f>"0081106936"</f>
        <v>0081106936</v>
      </c>
      <c r="B414" t="s">
        <v>160</v>
      </c>
      <c r="C414" t="str">
        <f t="shared" si="6"/>
        <v>19/09/01</v>
      </c>
      <c r="D414" t="str">
        <f>"ORLEANS"</f>
        <v>ORLEANS</v>
      </c>
      <c r="E414" s="4">
        <v>19.54</v>
      </c>
      <c r="F414" s="4">
        <v>22.91</v>
      </c>
      <c r="G414" s="4">
        <v>223.31</v>
      </c>
    </row>
    <row r="415" spans="1:7" x14ac:dyDescent="0.2">
      <c r="A415" t="str">
        <f>"0240778914"</f>
        <v>0240778914</v>
      </c>
      <c r="B415" t="s">
        <v>114</v>
      </c>
      <c r="C415" t="str">
        <f t="shared" si="6"/>
        <v>19/09/01</v>
      </c>
      <c r="D415" t="str">
        <f>"ERIE"</f>
        <v>ERIE</v>
      </c>
      <c r="E415" s="4">
        <v>18.95</v>
      </c>
      <c r="F415" s="4">
        <v>0</v>
      </c>
      <c r="G415" s="4">
        <v>0</v>
      </c>
    </row>
  </sheetData>
  <sortState xmlns:xlrd2="http://schemas.microsoft.com/office/spreadsheetml/2017/richdata2" ref="A5:G415">
    <sortCondition ref="B5:B415"/>
  </sortState>
  <mergeCells count="3">
    <mergeCell ref="A1:F1"/>
    <mergeCell ref="A2:F2"/>
    <mergeCell ref="A3:F3"/>
  </mergeCells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CDPAP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2018-04-12T12:57:03Z</dcterms:created>
  <dcterms:modified xsi:type="dcterms:W3CDTF">2019-10-21T12:12:55Z</dcterms:modified>
</cp:coreProperties>
</file>