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825" activeTab="0"/>
  </bookViews>
  <sheets>
    <sheet name="kma04pc" sheetId="1" r:id="rId1"/>
  </sheets>
  <definedNames/>
  <calcPr fullCalcOnLoad="1"/>
</workbook>
</file>

<file path=xl/sharedStrings.xml><?xml version="1.0" encoding="utf-8"?>
<sst xmlns="http://schemas.openxmlformats.org/spreadsheetml/2006/main" count="410" uniqueCount="188">
  <si>
    <t>Organization</t>
  </si>
  <si>
    <t>Name</t>
  </si>
  <si>
    <t>Date</t>
  </si>
  <si>
    <t>AIDES AT HOME</t>
  </si>
  <si>
    <t>ABLE HEALTH CARE SERVICE INC.</t>
  </si>
  <si>
    <t>HEALTH ACQUISITION CORP DBA ALLEN HEALTH CARE SERV</t>
  </si>
  <si>
    <t>RECCO HOME CARE</t>
  </si>
  <si>
    <t>UNLIMITED CARE</t>
  </si>
  <si>
    <t>VNS-ROCHESTER</t>
  </si>
  <si>
    <t>GREATER ADIRONDACK HOME AIDES</t>
  </si>
  <si>
    <t>PERSONAL TOUCH HOME CARE</t>
  </si>
  <si>
    <t>HCR</t>
  </si>
  <si>
    <t>FAMILY SERVICES OF WESTCHESTER</t>
  </si>
  <si>
    <t>FAMILY SERVICE SOCIETY OF YONKERS</t>
  </si>
  <si>
    <t>HOME HEALTH SVS. WEST. JEWISH</t>
  </si>
  <si>
    <t>A &amp; A STAFFING HEALTH CARE</t>
  </si>
  <si>
    <t>FAMILY AND CHILD SERVICE</t>
  </si>
  <si>
    <t>INTERIM HEALTHCARE OF SYRACUSE,INC.</t>
  </si>
  <si>
    <t>HOME AIDES OF CENTRAL NEW YORK</t>
  </si>
  <si>
    <t>HOME AIDES OF CENTRAL NEW YORK, INC.</t>
  </si>
  <si>
    <t>FAMILY AND CHILDREN'S SOCIETY OF BROOME COUNTY</t>
  </si>
  <si>
    <t>INTERIM HEALTHCARE OF BINGHAMTON, INC.</t>
  </si>
  <si>
    <t>VIP HEALTH CARE SERVICES</t>
  </si>
  <si>
    <t>BEST CARE</t>
  </si>
  <si>
    <t>HOMEMAKERS OF WESTERN NY, INC DBA CAREGIVERS</t>
  </si>
  <si>
    <t>ACCREDITED CARE INC.</t>
  </si>
  <si>
    <t>CHAUTAUQUA OPPORTUNITIES</t>
  </si>
  <si>
    <t>WILLCARE INC.</t>
  </si>
  <si>
    <t>HELPING HANDS HOMEMAKING SERV</t>
  </si>
  <si>
    <t>ALL METRO HEALTH CARE</t>
  </si>
  <si>
    <t>ATTENTIVE CARE</t>
  </si>
  <si>
    <t>MERCY HOMECARE</t>
  </si>
  <si>
    <t>NORTH COUNTRY HOME SERVICES, INC.</t>
  </si>
  <si>
    <t>COMMUNITY CARE OF WNY</t>
  </si>
  <si>
    <t>FAMILY SERVICES OF CHEMUNG</t>
  </si>
  <si>
    <t>ACCREDITED AIDES PLUS</t>
  </si>
  <si>
    <t>LITSON HOME CARE</t>
  </si>
  <si>
    <t>ULSTER CO. HOME HEALTH</t>
  </si>
  <si>
    <t>HOME &amp; HEALTH CARE SERVICES</t>
  </si>
  <si>
    <t>HOMEMAKERS OF MOHAWK VALLEY, INC DBA CAREGIVERS</t>
  </si>
  <si>
    <t>WELLNESS HOME CARE LTD</t>
  </si>
  <si>
    <t>WELLNESS HOME CARE</t>
  </si>
  <si>
    <t>HUDSON VALLEY HOME CARE</t>
  </si>
  <si>
    <t>HEALTH SERVICES OF NORTHERN NY</t>
  </si>
  <si>
    <t>ST. LAWRENCE COMMUNITY DEV. PR</t>
  </si>
  <si>
    <t>ALLCARE FAMILY SVCS</t>
  </si>
  <si>
    <t>RESOURCE CENTER FOR INDEPENDENT LIVING, INC.</t>
  </si>
  <si>
    <t>RESOURCE CENTER FOR INDEPENDANT LIVING</t>
  </si>
  <si>
    <t>SELFHELP</t>
  </si>
  <si>
    <t>ANY-TIME HOME CARE</t>
  </si>
  <si>
    <t>HOMEMAKERS OF BROOME, INC DBA CAREGIVERS</t>
  </si>
  <si>
    <t>ACCENTCARE OF NY</t>
  </si>
  <si>
    <t>INDEPENDENT HEALTH CARE SERVIC</t>
  </si>
  <si>
    <t>AMAK HEALTHCARE</t>
  </si>
  <si>
    <t>PEOPLE INC.</t>
  </si>
  <si>
    <t>STAFKINGS HEALTHCARE SYSTEMS</t>
  </si>
  <si>
    <t>U.S. CARE SYSTEMS</t>
  </si>
  <si>
    <t>ADEPT HEALTH CARE SERVICE, INC.</t>
  </si>
  <si>
    <t>NEW YORK HEALTH CARE INC</t>
  </si>
  <si>
    <t>SOUTH SHORE HOME HEALTH SERVICE</t>
  </si>
  <si>
    <t>PEOPLE CARE INC</t>
  </si>
  <si>
    <t>ACCU CARE HEALTH SERVICES</t>
  </si>
  <si>
    <t>UTOPIA HOME CARE</t>
  </si>
  <si>
    <t>HOME HEALTH CARE &amp; COMPANION AGENCY, INC.</t>
  </si>
  <si>
    <t>AFTERCARE NURSING SERVICES, INC.</t>
  </si>
  <si>
    <t>AFTERCARE NURSING SERVICE INC</t>
  </si>
  <si>
    <t>SUPERIOR HOME HEALTH CARE</t>
  </si>
  <si>
    <t>BETTER HOME HEALTH CARE</t>
  </si>
  <si>
    <t>ST. FRANCIS HOME CARE SERVICES</t>
  </si>
  <si>
    <t>A &amp; T HEALTHCARE</t>
  </si>
  <si>
    <t>ENABLE</t>
  </si>
  <si>
    <t>PREMIER HOME HEALTH SERVICES INC.</t>
  </si>
  <si>
    <t>ACCENT HEALTH CARE SERVICES INC</t>
  </si>
  <si>
    <t>ACCENT HEALTH CARE SERVICES, INC.</t>
  </si>
  <si>
    <t>MARIAN CARE INC.</t>
  </si>
  <si>
    <t>LONG ISLAND CARE AT HOME</t>
  </si>
  <si>
    <t>WESTCHESTER CARE AT HOME</t>
  </si>
  <si>
    <t>VISITING NURSE ASSOCIATION HOME HEALTH SERVICES</t>
  </si>
  <si>
    <t>GENESEE REGION HOME CARE OF ONTARIO COU</t>
  </si>
  <si>
    <t>GENESEE REGION HOME CARE OF ONTARIO COUN</t>
  </si>
  <si>
    <t>GENESEE REGION HOME CARE OF ONTARIO COUNTY, INC.</t>
  </si>
  <si>
    <t>G.E.M HEALTH CARE AGENCY INC.</t>
  </si>
  <si>
    <t>NURSES ON HAND REGISTRY</t>
  </si>
  <si>
    <t>JZANUS HOME CARE INC.</t>
  </si>
  <si>
    <t>GENTLE HOME HEALTH CARE</t>
  </si>
  <si>
    <t>REGION CARE INC</t>
  </si>
  <si>
    <t>WARTBURG RESIDENTIAL COMMUNITY INC.</t>
  </si>
  <si>
    <t>PHC SERVICES LTD</t>
  </si>
  <si>
    <t>CONCEPT CARE INC</t>
  </si>
  <si>
    <t>ROCKLAND INDEPENDENT LIVING CENTER, INC.</t>
  </si>
  <si>
    <t>LOWER WEST SIDE HOUSEHOLD SERVICES CORP</t>
  </si>
  <si>
    <t>VISITING NURSES HOME CARE CORP</t>
  </si>
  <si>
    <t>COMPREHENSIVE TECHNOLOGY CTR</t>
  </si>
  <si>
    <t>SENECA CAYUGA COUNTIES NYSARC, INC.</t>
  </si>
  <si>
    <t>PRESBYTERIAN RESIDENTIAL COMMUNITY, INC.</t>
  </si>
  <si>
    <t>PRIORITY HOME CARE, INC</t>
  </si>
  <si>
    <t>ARISE, INC.</t>
  </si>
  <si>
    <t>ACCESS SUPPORTS FOR LIVING INC</t>
  </si>
  <si>
    <t>INDEPENDENT LIVING INC.</t>
  </si>
  <si>
    <t>MID-HUDSON MANAGED HOME CARE, INC.</t>
  </si>
  <si>
    <t>UNITED CEREBRAL PALSY ASSOC. OF THE NORTH COUNTRY</t>
  </si>
  <si>
    <t>SOUTHERN TIER INDEPENDENCE CENTER</t>
  </si>
  <si>
    <t>JAWANIO, INC.</t>
  </si>
  <si>
    <t>FINGER LAKES INDEPENDENCE CENTER</t>
  </si>
  <si>
    <t>CORTLAND COMMUNITY ACTION PROGRAM</t>
  </si>
  <si>
    <t>COMMUNITY WORK AND INDEPENDENCE</t>
  </si>
  <si>
    <t>COMMUNITY WORK AND INDEPENDENCE INC</t>
  </si>
  <si>
    <t>GRACE CHURCH COMMUNITY CTR DBA NEIGHBORS PROGRAM</t>
  </si>
  <si>
    <t>LONG ISLAND CENTER FOR INDEPENDENT LIVING</t>
  </si>
  <si>
    <t>ACCESS TO INDEPENDENCE AND MOBILITY</t>
  </si>
  <si>
    <t>HOLDEN HOME LICENSED HOME CARE AGENCY</t>
  </si>
  <si>
    <t>FINGER LAKES HOME CARE</t>
  </si>
  <si>
    <t>PEDIATRIC HOME NURSING SERVICES, INC.</t>
  </si>
  <si>
    <t>CONSUMER DIRECTED CHOICES</t>
  </si>
  <si>
    <t>CENTER FOR DISABILITY RIGHTS</t>
  </si>
  <si>
    <t>HEALTH FORCE</t>
  </si>
  <si>
    <t>EDDY LICENSED HOME CARE AGENCY INC</t>
  </si>
  <si>
    <t>FRIENDS HOME CARE</t>
  </si>
  <si>
    <t>ABET UNIVERSAL SERVICES</t>
  </si>
  <si>
    <t>METRO INTERFAITH HOME CARE</t>
  </si>
  <si>
    <t>ENS HLTH CARE MGMT (Interim Healthcare)</t>
  </si>
  <si>
    <t>ENS HLTH CARE MGMT (Interim Health Care)</t>
  </si>
  <si>
    <t>ENS HLTH MGMT(Interim Healthcare</t>
  </si>
  <si>
    <t>LIVING RESOURCES HOME CARE AGENCY,INC</t>
  </si>
  <si>
    <t>HAMASPIK OF ORANGE COUNTY</t>
  </si>
  <si>
    <t>HAMASPIK OF ROCKLAND COUNTY, INC.</t>
  </si>
  <si>
    <t>MAXIM OF NY LLC</t>
  </si>
  <si>
    <t>MAXIM HEALTHCARE SERVICES</t>
  </si>
  <si>
    <t>SOPHIE'S HEALTH CARE SERVICES INC</t>
  </si>
  <si>
    <t>WNY INDEPENDENT LIVING PROJECT</t>
  </si>
  <si>
    <t>WESTERN NY INDEPENDENT LIVING PROJECT</t>
  </si>
  <si>
    <t>WESTERN NY INDEPENDENT LIVING CENTER</t>
  </si>
  <si>
    <t>CONCEPTS OF INDEPENDENT CHOICES</t>
  </si>
  <si>
    <t>CONCEPTS OF INDEPENDENT CHOICES, INC.</t>
  </si>
  <si>
    <t>ANGEL HOME HEALTH CARE</t>
  </si>
  <si>
    <t>PLAN-IT STAFFING</t>
  </si>
  <si>
    <t>PLAN IT STAFFING</t>
  </si>
  <si>
    <t>OTSEGO COUNTY PUBLIC HEALTH</t>
  </si>
  <si>
    <t>AT HOME CARE PARTNERS, INC</t>
  </si>
  <si>
    <t>UNITY AT HOME</t>
  </si>
  <si>
    <t>A &amp; J HOME CARE</t>
  </si>
  <si>
    <t>A &amp; J HOMECARE INC</t>
  </si>
  <si>
    <t>UNITED HELPERS HOME HEALTH SERVICES</t>
  </si>
  <si>
    <t>FORT HUDSON HOMECARE</t>
  </si>
  <si>
    <t>AT HOME LTD</t>
  </si>
  <si>
    <t>MEDICAL SOLUTIONS, INC.</t>
  </si>
  <si>
    <t>ALL ABOUT YOU HOME CARE,INC</t>
  </si>
  <si>
    <t>ALL ABOUT YOU HOME CARE, INC.</t>
  </si>
  <si>
    <t>COMPANION CARE OF ROCHESTER</t>
  </si>
  <si>
    <t>INDEPENDENT HOME CARE INC</t>
  </si>
  <si>
    <t>AT HOME INDEPENDENT CARE, INC</t>
  </si>
  <si>
    <t>AT HOME INDEPENDENT CARE INC.</t>
  </si>
  <si>
    <t>SELF DIRECT INC</t>
  </si>
  <si>
    <t>AZOR HOME CARE SERVICES</t>
  </si>
  <si>
    <t>MRS G's SERVICES LLC</t>
  </si>
  <si>
    <t>TOP QUALITY HOME CARE LLC</t>
  </si>
  <si>
    <t>RAMA ASSOCIATES</t>
  </si>
  <si>
    <t>ACS HOME CARE LLC</t>
  </si>
  <si>
    <t>A-PLUS HOME HEALTH CARE AGENCY, LLC</t>
  </si>
  <si>
    <t>DIANAS ANGELS HOME CARE INC</t>
  </si>
  <si>
    <t>FAMILY CARE PED HC A DIVISION OF TRI-BOROUG</t>
  </si>
  <si>
    <t>ACCESS HOME CARE INC</t>
  </si>
  <si>
    <t>SUNSHINE HOME CARE SERVICES CORP</t>
  </si>
  <si>
    <t>ALL AMERICAN HOME CARE AGENCY INC</t>
  </si>
  <si>
    <t>ROPEN HEALTH CARE SERVICES INC</t>
  </si>
  <si>
    <t>GLIDEDOWAN LLC</t>
  </si>
  <si>
    <t>WAYNE COUNTY CHAPTER NYSARC INC</t>
  </si>
  <si>
    <t>HERITAGE CHRISTIAN SERVICES</t>
  </si>
  <si>
    <t>PREFERRED HOME CARE OF NEW YORK</t>
  </si>
  <si>
    <t>BETHESDA ELITE CARE INC</t>
  </si>
  <si>
    <t>A REFLECTION OF YOU COUNSELING &amp; SUPPORT</t>
  </si>
  <si>
    <t>NEW VISION HOME CARE SERVICES LLC</t>
  </si>
  <si>
    <t>HOME ASSIST SENIOR CARE INC</t>
  </si>
  <si>
    <t xml:space="preserve">Level One </t>
  </si>
  <si>
    <t xml:space="preserve">Level Two </t>
  </si>
  <si>
    <t xml:space="preserve">Level Two Hard To Serve </t>
  </si>
  <si>
    <t xml:space="preserve">Live In </t>
  </si>
  <si>
    <t xml:space="preserve">Shared Aid Level I </t>
  </si>
  <si>
    <t xml:space="preserve">Shared Aid Level Two </t>
  </si>
  <si>
    <t xml:space="preserve">Nursing Supervision </t>
  </si>
  <si>
    <t xml:space="preserve">Nursing Assessment </t>
  </si>
  <si>
    <t xml:space="preserve">Consumer Directed </t>
  </si>
  <si>
    <t xml:space="preserve">Consumer Directed Enhanced </t>
  </si>
  <si>
    <t>Consumer Directed Live In</t>
  </si>
  <si>
    <t>County</t>
  </si>
  <si>
    <t xml:space="preserve">  Bureau of Long Term Care Reimbursement</t>
  </si>
  <si>
    <t xml:space="preserve">       New York State Department of Health</t>
  </si>
  <si>
    <t xml:space="preserve">                   2016 Personal Care Rates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</si>
</sst>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le 2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53.00390625" style="0" customWidth="1"/>
    <col min="3" max="3" width="9.57421875" style="0" customWidth="1"/>
    <col min="4" max="4" width="14.00390625" style="0" customWidth="1"/>
    <col min="5" max="6" width="9.8515625" style="0" customWidth="1"/>
    <col min="7" max="7" width="10.7109375" style="0" customWidth="1"/>
    <col min="9" max="9" width="10.57421875" style="0" customWidth="1"/>
    <col min="10" max="10" width="10.421875" style="0" customWidth="1"/>
    <col min="11" max="11" width="11.7109375" style="0" customWidth="1"/>
    <col min="12" max="12" width="11.421875" style="0" customWidth="1"/>
    <col min="13" max="13" width="10.140625" style="0" customWidth="1"/>
    <col min="14" max="14" width="10.421875" style="0" customWidth="1"/>
    <col min="15" max="15" width="10.00390625" style="0" customWidth="1"/>
  </cols>
  <sheetData>
    <row r="1" spans="5:15" s="11" customFormat="1" ht="15">
      <c r="E1" s="11" t="s">
        <v>186</v>
      </c>
      <c r="O1" s="12">
        <v>42530</v>
      </c>
    </row>
    <row r="2" s="11" customFormat="1" ht="15">
      <c r="E2" s="13" t="s">
        <v>185</v>
      </c>
    </row>
    <row r="3" s="11" customFormat="1" ht="15">
      <c r="E3" s="13" t="s">
        <v>187</v>
      </c>
    </row>
    <row r="4" ht="15">
      <c r="B4" s="1"/>
    </row>
    <row r="5" spans="1:15" ht="73.5" customHeight="1">
      <c r="A5" t="s">
        <v>0</v>
      </c>
      <c r="B5" t="s">
        <v>1</v>
      </c>
      <c r="C5" t="s">
        <v>2</v>
      </c>
      <c r="D5" s="11" t="s">
        <v>184</v>
      </c>
      <c r="E5" s="2" t="s">
        <v>173</v>
      </c>
      <c r="F5" s="2" t="s">
        <v>174</v>
      </c>
      <c r="G5" s="3" t="s">
        <v>175</v>
      </c>
      <c r="H5" s="4" t="s">
        <v>176</v>
      </c>
      <c r="I5" s="5" t="s">
        <v>177</v>
      </c>
      <c r="J5" s="6" t="s">
        <v>178</v>
      </c>
      <c r="K5" s="10" t="s">
        <v>179</v>
      </c>
      <c r="L5" s="7" t="s">
        <v>180</v>
      </c>
      <c r="M5" s="8" t="s">
        <v>181</v>
      </c>
      <c r="N5" s="9" t="s">
        <v>182</v>
      </c>
      <c r="O5" s="10" t="s">
        <v>183</v>
      </c>
    </row>
    <row r="7" spans="1:15" ht="15">
      <c r="A7" t="str">
        <f>"0134883801"</f>
        <v>0134883801</v>
      </c>
      <c r="B7" t="s">
        <v>72</v>
      </c>
      <c r="C7" t="str">
        <f aca="true" t="shared" si="0" ref="C7:C70">"16/01/01"</f>
        <v>16/01/01</v>
      </c>
      <c r="D7" t="str">
        <f aca="true" t="shared" si="1" ref="D7:D21">"ALBANY"</f>
        <v>ALBANY</v>
      </c>
      <c r="E7">
        <v>17.37</v>
      </c>
      <c r="F7">
        <v>21.85</v>
      </c>
      <c r="G7">
        <v>21.03</v>
      </c>
      <c r="H7">
        <v>263.62</v>
      </c>
      <c r="I7">
        <v>18.98</v>
      </c>
      <c r="J7">
        <v>21.52</v>
      </c>
      <c r="K7">
        <v>88.31</v>
      </c>
      <c r="L7">
        <v>81.88</v>
      </c>
      <c r="M7">
        <v>18.54</v>
      </c>
      <c r="N7">
        <v>20.16</v>
      </c>
      <c r="O7">
        <v>0</v>
      </c>
    </row>
    <row r="8" spans="1:15" ht="15">
      <c r="A8" t="str">
        <f>"0112364201"</f>
        <v>0112364201</v>
      </c>
      <c r="B8" t="s">
        <v>61</v>
      </c>
      <c r="C8" t="str">
        <f t="shared" si="0"/>
        <v>16/01/01</v>
      </c>
      <c r="D8" t="str">
        <f t="shared" si="1"/>
        <v>ALBANY</v>
      </c>
      <c r="E8">
        <v>19.14</v>
      </c>
      <c r="F8">
        <v>21.45</v>
      </c>
      <c r="G8">
        <v>18.24</v>
      </c>
      <c r="H8">
        <v>0</v>
      </c>
      <c r="I8">
        <v>16.48</v>
      </c>
      <c r="J8">
        <v>17.35</v>
      </c>
      <c r="K8">
        <v>0</v>
      </c>
      <c r="L8">
        <v>0</v>
      </c>
      <c r="M8">
        <v>17.97</v>
      </c>
      <c r="N8">
        <v>17.78</v>
      </c>
      <c r="O8">
        <v>219.66</v>
      </c>
    </row>
    <row r="9" spans="1:15" ht="15">
      <c r="A9" t="str">
        <f>"0106459301"</f>
        <v>0106459301</v>
      </c>
      <c r="B9" t="s">
        <v>57</v>
      </c>
      <c r="C9" t="str">
        <f t="shared" si="0"/>
        <v>16/01/01</v>
      </c>
      <c r="D9" t="str">
        <f t="shared" si="1"/>
        <v>ALBANY</v>
      </c>
      <c r="E9">
        <v>19.31</v>
      </c>
      <c r="F9">
        <v>20.1</v>
      </c>
      <c r="G9">
        <v>20.84</v>
      </c>
      <c r="H9">
        <v>0</v>
      </c>
      <c r="I9">
        <v>19.14</v>
      </c>
      <c r="J9">
        <v>20.47</v>
      </c>
      <c r="K9">
        <v>83.94</v>
      </c>
      <c r="L9">
        <v>84.11</v>
      </c>
      <c r="M9">
        <v>0</v>
      </c>
      <c r="N9">
        <v>0</v>
      </c>
      <c r="O9">
        <v>0</v>
      </c>
    </row>
    <row r="10" spans="1:15" ht="15">
      <c r="A10" t="str">
        <f>"0084696001"</f>
        <v>0084696001</v>
      </c>
      <c r="B10" t="s">
        <v>29</v>
      </c>
      <c r="C10" t="str">
        <f t="shared" si="0"/>
        <v>16/01/01</v>
      </c>
      <c r="D10" t="str">
        <f t="shared" si="1"/>
        <v>ALBANY</v>
      </c>
      <c r="E10">
        <v>16.07</v>
      </c>
      <c r="F10">
        <v>16.26</v>
      </c>
      <c r="G10">
        <v>23.91</v>
      </c>
      <c r="H10">
        <v>222.38</v>
      </c>
      <c r="I10">
        <v>16.05</v>
      </c>
      <c r="J10">
        <v>15.82</v>
      </c>
      <c r="K10">
        <v>103.2</v>
      </c>
      <c r="L10">
        <v>103.2</v>
      </c>
      <c r="M10">
        <v>17.13</v>
      </c>
      <c r="N10">
        <v>24.34</v>
      </c>
      <c r="O10">
        <v>224.85</v>
      </c>
    </row>
    <row r="11" spans="1:15" ht="15">
      <c r="A11" t="str">
        <f>"0256956001"</f>
        <v>0256956001</v>
      </c>
      <c r="B11" t="s">
        <v>134</v>
      </c>
      <c r="C11" t="str">
        <f t="shared" si="0"/>
        <v>16/01/01</v>
      </c>
      <c r="D11" t="str">
        <f t="shared" si="1"/>
        <v>ALBANY</v>
      </c>
      <c r="E11">
        <v>0</v>
      </c>
      <c r="F11">
        <v>22.01</v>
      </c>
      <c r="G11">
        <v>24.16</v>
      </c>
      <c r="H11">
        <v>0</v>
      </c>
      <c r="I11">
        <v>0</v>
      </c>
      <c r="J11">
        <v>0</v>
      </c>
      <c r="K11">
        <v>79.14</v>
      </c>
      <c r="L11">
        <v>79.14</v>
      </c>
      <c r="M11">
        <v>0</v>
      </c>
      <c r="N11">
        <v>0</v>
      </c>
      <c r="O11">
        <v>0</v>
      </c>
    </row>
    <row r="12" spans="1:15" ht="15">
      <c r="A12" t="str">
        <f>"0099143301"</f>
        <v>0099143301</v>
      </c>
      <c r="B12" t="s">
        <v>49</v>
      </c>
      <c r="C12" t="str">
        <f t="shared" si="0"/>
        <v>16/01/01</v>
      </c>
      <c r="D12" t="str">
        <f t="shared" si="1"/>
        <v>ALBANY</v>
      </c>
      <c r="E12">
        <v>20.66</v>
      </c>
      <c r="F12">
        <v>20.95</v>
      </c>
      <c r="G12">
        <v>28.87</v>
      </c>
      <c r="H12">
        <v>298.92</v>
      </c>
      <c r="I12">
        <v>21.44</v>
      </c>
      <c r="J12">
        <v>22.31</v>
      </c>
      <c r="K12">
        <v>158.34</v>
      </c>
      <c r="L12">
        <v>158.34</v>
      </c>
      <c r="M12">
        <v>18.24</v>
      </c>
      <c r="N12">
        <v>26.77</v>
      </c>
      <c r="O12">
        <v>325.39</v>
      </c>
    </row>
    <row r="13" spans="1:15" ht="15">
      <c r="A13" t="str">
        <f>"0090869001"</f>
        <v>0090869001</v>
      </c>
      <c r="B13" t="s">
        <v>30</v>
      </c>
      <c r="C13" t="str">
        <f t="shared" si="0"/>
        <v>16/01/01</v>
      </c>
      <c r="D13" t="str">
        <f t="shared" si="1"/>
        <v>ALBANY</v>
      </c>
      <c r="E13">
        <v>19.94</v>
      </c>
      <c r="F13">
        <v>20.53</v>
      </c>
      <c r="G13">
        <v>21.14</v>
      </c>
      <c r="H13">
        <v>263.13</v>
      </c>
      <c r="I13">
        <v>19.97</v>
      </c>
      <c r="J13">
        <v>20.45</v>
      </c>
      <c r="K13">
        <v>84.73</v>
      </c>
      <c r="L13">
        <v>123.45</v>
      </c>
      <c r="M13">
        <v>18.32</v>
      </c>
      <c r="N13">
        <v>20.46</v>
      </c>
      <c r="O13">
        <v>0</v>
      </c>
    </row>
    <row r="14" spans="1:15" ht="15">
      <c r="A14" t="str">
        <f>"0240779801"</f>
        <v>0240779801</v>
      </c>
      <c r="B14" t="s">
        <v>132</v>
      </c>
      <c r="C14" t="str">
        <f t="shared" si="0"/>
        <v>16/01/01</v>
      </c>
      <c r="D14" t="str">
        <f t="shared" si="1"/>
        <v>ALBANY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18.59</v>
      </c>
      <c r="N14">
        <v>20.57</v>
      </c>
      <c r="O14">
        <v>236.75</v>
      </c>
    </row>
    <row r="15" spans="1:15" ht="15">
      <c r="A15" t="str">
        <f>"0188056001"</f>
        <v>0188056001</v>
      </c>
      <c r="B15" t="s">
        <v>113</v>
      </c>
      <c r="C15" t="str">
        <f t="shared" si="0"/>
        <v>16/01/01</v>
      </c>
      <c r="D15" t="str">
        <f t="shared" si="1"/>
        <v>ALBANY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16.5</v>
      </c>
      <c r="N15">
        <v>18.1</v>
      </c>
      <c r="O15">
        <v>217.33</v>
      </c>
    </row>
    <row r="16" spans="1:15" ht="15">
      <c r="A16" t="str">
        <f>"0200188901"</f>
        <v>0200188901</v>
      </c>
      <c r="B16" t="s">
        <v>116</v>
      </c>
      <c r="C16" t="str">
        <f t="shared" si="0"/>
        <v>16/01/01</v>
      </c>
      <c r="D16" t="str">
        <f t="shared" si="1"/>
        <v>ALBANY</v>
      </c>
      <c r="E16">
        <v>22.21</v>
      </c>
      <c r="F16">
        <v>23</v>
      </c>
      <c r="G16">
        <v>0</v>
      </c>
      <c r="H16">
        <v>0</v>
      </c>
      <c r="I16">
        <v>0</v>
      </c>
      <c r="J16">
        <v>0</v>
      </c>
      <c r="K16">
        <v>89.59</v>
      </c>
      <c r="L16">
        <v>89.59</v>
      </c>
      <c r="M16">
        <v>0</v>
      </c>
      <c r="N16">
        <v>0</v>
      </c>
      <c r="O16">
        <v>0</v>
      </c>
    </row>
    <row r="17" spans="1:15" ht="15">
      <c r="A17" t="str">
        <f>"0215044301"</f>
        <v>0215044301</v>
      </c>
      <c r="B17" t="s">
        <v>120</v>
      </c>
      <c r="C17" t="str">
        <f t="shared" si="0"/>
        <v>16/01/01</v>
      </c>
      <c r="D17" t="str">
        <f t="shared" si="1"/>
        <v>ALBANY</v>
      </c>
      <c r="E17">
        <v>20.84</v>
      </c>
      <c r="F17">
        <v>21.66</v>
      </c>
      <c r="G17">
        <v>0</v>
      </c>
      <c r="H17">
        <v>0</v>
      </c>
      <c r="I17">
        <v>20.87</v>
      </c>
      <c r="J17">
        <v>21.81</v>
      </c>
      <c r="K17">
        <v>104.86</v>
      </c>
      <c r="L17">
        <v>92.01</v>
      </c>
      <c r="M17">
        <v>17.63</v>
      </c>
      <c r="N17">
        <v>0</v>
      </c>
      <c r="O17">
        <v>0</v>
      </c>
    </row>
    <row r="18" spans="1:15" ht="15">
      <c r="A18" t="str">
        <f>"0217285601"</f>
        <v>0217285601</v>
      </c>
      <c r="B18" t="s">
        <v>123</v>
      </c>
      <c r="C18" t="str">
        <f t="shared" si="0"/>
        <v>16/01/01</v>
      </c>
      <c r="D18" t="str">
        <f t="shared" si="1"/>
        <v>ALBANY</v>
      </c>
      <c r="E18">
        <v>21.38</v>
      </c>
      <c r="F18">
        <v>21.38</v>
      </c>
      <c r="G18">
        <v>0</v>
      </c>
      <c r="H18">
        <v>0</v>
      </c>
      <c r="I18">
        <v>0</v>
      </c>
      <c r="J18">
        <v>0</v>
      </c>
      <c r="K18">
        <v>101.81</v>
      </c>
      <c r="L18">
        <v>89.29</v>
      </c>
      <c r="M18">
        <v>0</v>
      </c>
      <c r="N18">
        <v>0</v>
      </c>
      <c r="O18">
        <v>0</v>
      </c>
    </row>
    <row r="19" spans="1:15" ht="15">
      <c r="A19" t="str">
        <f>"0231917501"</f>
        <v>0231917501</v>
      </c>
      <c r="B19" t="s">
        <v>126</v>
      </c>
      <c r="C19" t="str">
        <f t="shared" si="0"/>
        <v>16/01/01</v>
      </c>
      <c r="D19" t="str">
        <f t="shared" si="1"/>
        <v>ALBANY</v>
      </c>
      <c r="E19">
        <v>22.39</v>
      </c>
      <c r="F19">
        <v>22.92</v>
      </c>
      <c r="G19">
        <v>22.92</v>
      </c>
      <c r="H19">
        <v>229.19</v>
      </c>
      <c r="I19">
        <v>0</v>
      </c>
      <c r="J19">
        <v>0</v>
      </c>
      <c r="K19">
        <v>79.17</v>
      </c>
      <c r="L19">
        <v>0</v>
      </c>
      <c r="M19">
        <v>22.33</v>
      </c>
      <c r="N19">
        <v>22.92</v>
      </c>
      <c r="O19">
        <v>229.19</v>
      </c>
    </row>
    <row r="20" spans="1:15" ht="15">
      <c r="A20" t="str">
        <f>"0035491201"</f>
        <v>0035491201</v>
      </c>
      <c r="B20" t="s">
        <v>7</v>
      </c>
      <c r="C20" t="str">
        <f t="shared" si="0"/>
        <v>16/01/01</v>
      </c>
      <c r="D20" t="str">
        <f t="shared" si="1"/>
        <v>ALBANY</v>
      </c>
      <c r="E20">
        <v>23.28</v>
      </c>
      <c r="F20">
        <v>24.4</v>
      </c>
      <c r="G20">
        <v>27.01</v>
      </c>
      <c r="H20">
        <v>299.81</v>
      </c>
      <c r="I20">
        <v>25.71</v>
      </c>
      <c r="J20">
        <v>24.84</v>
      </c>
      <c r="K20">
        <v>148.31</v>
      </c>
      <c r="L20">
        <v>148.31</v>
      </c>
      <c r="M20">
        <v>25.61</v>
      </c>
      <c r="N20">
        <v>27.21</v>
      </c>
      <c r="O20">
        <v>308.79</v>
      </c>
    </row>
    <row r="21" spans="1:15" ht="15">
      <c r="A21" t="str">
        <f>"0170109101"</f>
        <v>0170109101</v>
      </c>
      <c r="B21" t="s">
        <v>91</v>
      </c>
      <c r="C21" t="str">
        <f t="shared" si="0"/>
        <v>16/01/01</v>
      </c>
      <c r="D21" t="str">
        <f t="shared" si="1"/>
        <v>ALBANY</v>
      </c>
      <c r="E21">
        <v>20.49</v>
      </c>
      <c r="F21">
        <v>21.28</v>
      </c>
      <c r="G21">
        <v>23.14</v>
      </c>
      <c r="H21">
        <v>356.67</v>
      </c>
      <c r="I21">
        <v>21.51</v>
      </c>
      <c r="J21">
        <v>22.38</v>
      </c>
      <c r="K21">
        <v>79.17</v>
      </c>
      <c r="L21">
        <v>79.17</v>
      </c>
      <c r="M21">
        <v>18.65</v>
      </c>
      <c r="N21">
        <v>20.25</v>
      </c>
      <c r="O21">
        <v>296.77</v>
      </c>
    </row>
    <row r="22" spans="1:15" ht="15">
      <c r="A22" t="str">
        <f>"0179766202"</f>
        <v>0179766202</v>
      </c>
      <c r="B22" t="s">
        <v>109</v>
      </c>
      <c r="C22" t="str">
        <f t="shared" si="0"/>
        <v>16/01/01</v>
      </c>
      <c r="D22" t="str">
        <f>"ALLEGANY"</f>
        <v>ALLEGANY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15.33</v>
      </c>
      <c r="N22">
        <v>0</v>
      </c>
      <c r="O22">
        <v>0</v>
      </c>
    </row>
    <row r="23" spans="1:15" ht="15">
      <c r="A23" t="str">
        <f>"0090452702"</f>
        <v>0090452702</v>
      </c>
      <c r="B23" t="s">
        <v>33</v>
      </c>
      <c r="C23" t="str">
        <f t="shared" si="0"/>
        <v>16/01/01</v>
      </c>
      <c r="D23" t="str">
        <f>"ALLEGANY"</f>
        <v>ALLEGANY</v>
      </c>
      <c r="E23">
        <v>24.85</v>
      </c>
      <c r="F23">
        <v>25.49</v>
      </c>
      <c r="G23">
        <v>0</v>
      </c>
      <c r="H23">
        <v>0</v>
      </c>
      <c r="I23">
        <v>0</v>
      </c>
      <c r="J23">
        <v>0</v>
      </c>
      <c r="K23">
        <v>77.43</v>
      </c>
      <c r="L23">
        <v>77.39</v>
      </c>
      <c r="M23">
        <v>0</v>
      </c>
      <c r="N23">
        <v>0</v>
      </c>
      <c r="O23">
        <v>0</v>
      </c>
    </row>
    <row r="24" spans="1:15" ht="15">
      <c r="A24" t="str">
        <f>"0059034503"</f>
        <v>0059034503</v>
      </c>
      <c r="B24" t="s">
        <v>20</v>
      </c>
      <c r="C24" t="str">
        <f t="shared" si="0"/>
        <v>16/01/01</v>
      </c>
      <c r="D24" t="str">
        <f aca="true" t="shared" si="2" ref="D24:D29">"BROOME"</f>
        <v>BROOME</v>
      </c>
      <c r="E24">
        <v>20.63</v>
      </c>
      <c r="F24">
        <v>21.42</v>
      </c>
      <c r="G24">
        <v>0</v>
      </c>
      <c r="H24">
        <v>0</v>
      </c>
      <c r="I24">
        <v>20.66</v>
      </c>
      <c r="J24">
        <v>21.53</v>
      </c>
      <c r="K24">
        <v>111.74</v>
      </c>
      <c r="L24">
        <v>111.75</v>
      </c>
      <c r="M24">
        <v>0</v>
      </c>
      <c r="N24">
        <v>0</v>
      </c>
      <c r="O24">
        <v>0</v>
      </c>
    </row>
    <row r="25" spans="1:15" ht="15">
      <c r="A25" t="str">
        <f>"0099144203"</f>
        <v>0099144203</v>
      </c>
      <c r="B25" t="s">
        <v>50</v>
      </c>
      <c r="C25" t="str">
        <f t="shared" si="0"/>
        <v>16/01/01</v>
      </c>
      <c r="D25" t="str">
        <f t="shared" si="2"/>
        <v>BROOME</v>
      </c>
      <c r="E25">
        <v>18.84</v>
      </c>
      <c r="F25">
        <v>19.63</v>
      </c>
      <c r="G25">
        <v>0</v>
      </c>
      <c r="H25">
        <v>0</v>
      </c>
      <c r="I25">
        <v>18.87</v>
      </c>
      <c r="J25">
        <v>19.44</v>
      </c>
      <c r="K25">
        <v>83.62</v>
      </c>
      <c r="L25">
        <v>0</v>
      </c>
      <c r="M25">
        <v>0</v>
      </c>
      <c r="N25">
        <v>0</v>
      </c>
      <c r="O25">
        <v>0</v>
      </c>
    </row>
    <row r="26" spans="1:15" ht="15">
      <c r="A26" t="str">
        <f>"0059035403"</f>
        <v>0059035403</v>
      </c>
      <c r="B26" t="s">
        <v>21</v>
      </c>
      <c r="C26" t="str">
        <f t="shared" si="0"/>
        <v>16/01/01</v>
      </c>
      <c r="D26" t="str">
        <f t="shared" si="2"/>
        <v>BROOME</v>
      </c>
      <c r="E26">
        <v>22.34</v>
      </c>
      <c r="F26">
        <v>23.13</v>
      </c>
      <c r="G26">
        <v>23.71</v>
      </c>
      <c r="H26">
        <v>0</v>
      </c>
      <c r="I26">
        <v>22.36</v>
      </c>
      <c r="J26">
        <v>23.26</v>
      </c>
      <c r="K26">
        <v>79.14</v>
      </c>
      <c r="L26">
        <v>0</v>
      </c>
      <c r="M26">
        <v>0</v>
      </c>
      <c r="N26">
        <v>0</v>
      </c>
      <c r="O26">
        <v>0</v>
      </c>
    </row>
    <row r="27" spans="1:15" ht="15">
      <c r="A27" t="str">
        <f>"0209721203"</f>
        <v>0209721203</v>
      </c>
      <c r="B27" t="s">
        <v>119</v>
      </c>
      <c r="C27" t="str">
        <f t="shared" si="0"/>
        <v>16/01/01</v>
      </c>
      <c r="D27" t="str">
        <f t="shared" si="2"/>
        <v>BROOME</v>
      </c>
      <c r="E27">
        <v>16.85</v>
      </c>
      <c r="F27">
        <v>16.85</v>
      </c>
      <c r="G27">
        <v>0</v>
      </c>
      <c r="H27">
        <v>0</v>
      </c>
      <c r="I27">
        <v>0</v>
      </c>
      <c r="J27">
        <v>0</v>
      </c>
      <c r="K27">
        <v>59.78</v>
      </c>
      <c r="L27">
        <v>0</v>
      </c>
      <c r="M27">
        <v>0</v>
      </c>
      <c r="N27">
        <v>0</v>
      </c>
      <c r="O27">
        <v>0</v>
      </c>
    </row>
    <row r="28" spans="1:15" ht="15">
      <c r="A28" t="str">
        <f>"0174116603"</f>
        <v>0174116603</v>
      </c>
      <c r="B28" t="s">
        <v>101</v>
      </c>
      <c r="C28" t="str">
        <f t="shared" si="0"/>
        <v>16/01/01</v>
      </c>
      <c r="D28" t="str">
        <f t="shared" si="2"/>
        <v>BROOME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14.83</v>
      </c>
      <c r="N28">
        <v>18.2</v>
      </c>
      <c r="O28">
        <v>0</v>
      </c>
    </row>
    <row r="29" spans="1:15" ht="15">
      <c r="A29" t="str">
        <f>"0105243703"</f>
        <v>0105243703</v>
      </c>
      <c r="B29" t="s">
        <v>55</v>
      </c>
      <c r="C29" t="str">
        <f t="shared" si="0"/>
        <v>16/01/01</v>
      </c>
      <c r="D29" t="str">
        <f t="shared" si="2"/>
        <v>BROOME</v>
      </c>
      <c r="E29">
        <v>22.37</v>
      </c>
      <c r="F29">
        <v>22.94</v>
      </c>
      <c r="G29">
        <v>26.69</v>
      </c>
      <c r="H29">
        <v>269.05</v>
      </c>
      <c r="I29">
        <v>21.73</v>
      </c>
      <c r="J29">
        <v>21.81</v>
      </c>
      <c r="K29">
        <v>158.31</v>
      </c>
      <c r="L29">
        <v>0</v>
      </c>
      <c r="M29">
        <v>21.56</v>
      </c>
      <c r="N29">
        <v>23.99</v>
      </c>
      <c r="O29">
        <v>275.33</v>
      </c>
    </row>
    <row r="30" spans="1:15" ht="15">
      <c r="A30" t="str">
        <f>"0090452704"</f>
        <v>0090452704</v>
      </c>
      <c r="B30" t="s">
        <v>33</v>
      </c>
      <c r="C30" t="str">
        <f t="shared" si="0"/>
        <v>16/01/01</v>
      </c>
      <c r="D30" t="str">
        <f>"CATTARAUGUS"</f>
        <v>CATTARAUGUS</v>
      </c>
      <c r="E30">
        <v>24.74</v>
      </c>
      <c r="F30">
        <v>25.53</v>
      </c>
      <c r="G30">
        <v>0</v>
      </c>
      <c r="H30">
        <v>0</v>
      </c>
      <c r="I30">
        <v>0</v>
      </c>
      <c r="J30">
        <v>0</v>
      </c>
      <c r="K30">
        <v>66.85</v>
      </c>
      <c r="L30">
        <v>66.84</v>
      </c>
      <c r="M30">
        <v>0</v>
      </c>
      <c r="N30">
        <v>0</v>
      </c>
      <c r="O30">
        <v>0</v>
      </c>
    </row>
    <row r="31" spans="1:15" ht="15">
      <c r="A31" t="str">
        <f>"0081106904"</f>
        <v>0081106904</v>
      </c>
      <c r="B31" t="s">
        <v>27</v>
      </c>
      <c r="C31" t="str">
        <f t="shared" si="0"/>
        <v>16/01/01</v>
      </c>
      <c r="D31" t="str">
        <f>"CATTARAUGUS"</f>
        <v>CATTARAUGUS</v>
      </c>
      <c r="E31">
        <v>20.45</v>
      </c>
      <c r="F31">
        <v>21.35</v>
      </c>
      <c r="G31">
        <v>24.46</v>
      </c>
      <c r="H31">
        <v>249.23</v>
      </c>
      <c r="I31">
        <v>24.04</v>
      </c>
      <c r="J31">
        <v>23.45</v>
      </c>
      <c r="K31">
        <v>94.85</v>
      </c>
      <c r="L31">
        <v>97.93</v>
      </c>
      <c r="M31">
        <v>18.31</v>
      </c>
      <c r="N31">
        <v>20.79</v>
      </c>
      <c r="O31">
        <v>232.44</v>
      </c>
    </row>
    <row r="32" spans="1:15" ht="15">
      <c r="A32" t="str">
        <f>"0170770805"</f>
        <v>0170770805</v>
      </c>
      <c r="B32" t="s">
        <v>92</v>
      </c>
      <c r="C32" t="str">
        <f t="shared" si="0"/>
        <v>16/01/01</v>
      </c>
      <c r="D32" t="str">
        <f>"CAYUGA"</f>
        <v>CAYUGA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16.1</v>
      </c>
      <c r="N32">
        <v>0</v>
      </c>
      <c r="O32">
        <v>0</v>
      </c>
    </row>
    <row r="33" spans="1:15" ht="15">
      <c r="A33" t="str">
        <f>"0105243705"</f>
        <v>0105243705</v>
      </c>
      <c r="B33" t="s">
        <v>55</v>
      </c>
      <c r="C33" t="str">
        <f t="shared" si="0"/>
        <v>16/01/01</v>
      </c>
      <c r="D33" t="str">
        <f>"CAYUGA"</f>
        <v>CAYUGA</v>
      </c>
      <c r="E33">
        <v>24.48</v>
      </c>
      <c r="F33">
        <v>24.5</v>
      </c>
      <c r="G33">
        <v>27.93</v>
      </c>
      <c r="H33">
        <v>269.13</v>
      </c>
      <c r="I33">
        <v>27.58</v>
      </c>
      <c r="J33">
        <v>27.73</v>
      </c>
      <c r="K33">
        <v>157.2</v>
      </c>
      <c r="L33">
        <v>0</v>
      </c>
      <c r="M33">
        <v>21.56</v>
      </c>
      <c r="N33">
        <v>24.03</v>
      </c>
      <c r="O33">
        <v>275.39</v>
      </c>
    </row>
    <row r="34" spans="1:15" ht="15">
      <c r="A34" t="str">
        <f>"0081103206"</f>
        <v>0081103206</v>
      </c>
      <c r="B34" t="s">
        <v>25</v>
      </c>
      <c r="C34" t="str">
        <f t="shared" si="0"/>
        <v>16/01/01</v>
      </c>
      <c r="D34" t="str">
        <f>"CHAUTAUQUA"</f>
        <v>CHAUTAUQUA</v>
      </c>
      <c r="E34">
        <v>20.86</v>
      </c>
      <c r="F34">
        <v>21.29</v>
      </c>
      <c r="G34">
        <v>23.45</v>
      </c>
      <c r="H34">
        <v>0</v>
      </c>
      <c r="I34">
        <v>20.99</v>
      </c>
      <c r="J34">
        <v>22.16</v>
      </c>
      <c r="K34">
        <v>47.24</v>
      </c>
      <c r="L34">
        <v>0</v>
      </c>
      <c r="M34">
        <v>0</v>
      </c>
      <c r="N34">
        <v>0</v>
      </c>
      <c r="O34">
        <v>0</v>
      </c>
    </row>
    <row r="35" spans="1:15" ht="15">
      <c r="A35" t="str">
        <f>"0118018906"</f>
        <v>0118018906</v>
      </c>
      <c r="B35" t="s">
        <v>64</v>
      </c>
      <c r="C35" t="str">
        <f t="shared" si="0"/>
        <v>16/01/01</v>
      </c>
      <c r="D35" t="str">
        <f>"CHAUTAUQUA"</f>
        <v>CHAUTAUQUA</v>
      </c>
      <c r="E35">
        <v>21.59</v>
      </c>
      <c r="F35">
        <v>24.15</v>
      </c>
      <c r="G35">
        <v>24.21</v>
      </c>
      <c r="H35">
        <v>238.99</v>
      </c>
      <c r="I35">
        <v>23.82</v>
      </c>
      <c r="J35">
        <v>22.82</v>
      </c>
      <c r="K35">
        <v>84.54</v>
      </c>
      <c r="L35">
        <v>0</v>
      </c>
      <c r="M35">
        <v>19.21</v>
      </c>
      <c r="N35">
        <v>26.25</v>
      </c>
      <c r="O35">
        <v>297.9</v>
      </c>
    </row>
    <row r="36" spans="1:15" ht="15">
      <c r="A36" t="str">
        <f>"0081104106"</f>
        <v>0081104106</v>
      </c>
      <c r="B36" t="s">
        <v>26</v>
      </c>
      <c r="C36" t="str">
        <f t="shared" si="0"/>
        <v>16/01/01</v>
      </c>
      <c r="D36" t="str">
        <f>"CHAUTAUQUA"</f>
        <v>CHAUTAUQUA</v>
      </c>
      <c r="E36">
        <v>19.59</v>
      </c>
      <c r="F36">
        <v>21.74</v>
      </c>
      <c r="G36">
        <v>24.59</v>
      </c>
      <c r="H36">
        <v>0</v>
      </c>
      <c r="I36">
        <v>19.22</v>
      </c>
      <c r="J36">
        <v>20.92</v>
      </c>
      <c r="K36">
        <v>46.71</v>
      </c>
      <c r="L36">
        <v>0</v>
      </c>
      <c r="M36">
        <v>0</v>
      </c>
      <c r="N36">
        <v>0</v>
      </c>
      <c r="O36">
        <v>0</v>
      </c>
    </row>
    <row r="37" spans="1:15" ht="15">
      <c r="A37" t="str">
        <f>"0080671706"</f>
        <v>0080671706</v>
      </c>
      <c r="B37" t="s">
        <v>24</v>
      </c>
      <c r="C37" t="str">
        <f t="shared" si="0"/>
        <v>16/01/01</v>
      </c>
      <c r="D37" t="str">
        <f>"CHAUTAUQUA"</f>
        <v>CHAUTAUQUA</v>
      </c>
      <c r="E37">
        <v>20.86</v>
      </c>
      <c r="F37">
        <v>21.29</v>
      </c>
      <c r="G37">
        <v>22.37</v>
      </c>
      <c r="H37">
        <v>0</v>
      </c>
      <c r="I37">
        <v>0</v>
      </c>
      <c r="J37">
        <v>0</v>
      </c>
      <c r="K37">
        <v>47.24</v>
      </c>
      <c r="L37">
        <v>0</v>
      </c>
      <c r="M37">
        <v>0</v>
      </c>
      <c r="N37">
        <v>0</v>
      </c>
      <c r="O37">
        <v>0</v>
      </c>
    </row>
    <row r="38" spans="1:15" ht="15">
      <c r="A38" t="str">
        <f>"0081106906"</f>
        <v>0081106906</v>
      </c>
      <c r="B38" t="s">
        <v>27</v>
      </c>
      <c r="C38" t="str">
        <f t="shared" si="0"/>
        <v>16/01/01</v>
      </c>
      <c r="D38" t="str">
        <f>"CHAUTAUQUA"</f>
        <v>CHAUTAUQUA</v>
      </c>
      <c r="E38">
        <v>20.23</v>
      </c>
      <c r="F38">
        <v>20.81</v>
      </c>
      <c r="G38">
        <v>22.39</v>
      </c>
      <c r="H38">
        <v>249.94</v>
      </c>
      <c r="I38">
        <v>24.13</v>
      </c>
      <c r="J38">
        <v>23.46</v>
      </c>
      <c r="K38">
        <v>96.51</v>
      </c>
      <c r="L38">
        <v>97.84</v>
      </c>
      <c r="M38">
        <v>17.83</v>
      </c>
      <c r="N38">
        <v>20.86</v>
      </c>
      <c r="O38">
        <v>229.51</v>
      </c>
    </row>
    <row r="39" spans="1:15" ht="15">
      <c r="A39" t="str">
        <f>"0179766207"</f>
        <v>0179766207</v>
      </c>
      <c r="B39" t="s">
        <v>109</v>
      </c>
      <c r="C39" t="str">
        <f t="shared" si="0"/>
        <v>16/01/01</v>
      </c>
      <c r="D39" t="str">
        <f>"CHEMUNG"</f>
        <v>CHEMUNG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15.34</v>
      </c>
      <c r="N39">
        <v>0</v>
      </c>
      <c r="O39">
        <v>0</v>
      </c>
    </row>
    <row r="40" spans="1:15" ht="15">
      <c r="A40" t="str">
        <f>"0194568807"</f>
        <v>0194568807</v>
      </c>
      <c r="B40" t="s">
        <v>114</v>
      </c>
      <c r="C40" t="str">
        <f t="shared" si="0"/>
        <v>16/01/01</v>
      </c>
      <c r="D40" t="str">
        <f>"CHEMUNG"</f>
        <v>CHEMUNG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16.13</v>
      </c>
      <c r="N40">
        <v>19.66</v>
      </c>
      <c r="O40">
        <v>0</v>
      </c>
    </row>
    <row r="41" spans="1:15" ht="15">
      <c r="A41" t="str">
        <f>"0090645007"</f>
        <v>0090645007</v>
      </c>
      <c r="B41" t="s">
        <v>34</v>
      </c>
      <c r="C41" t="str">
        <f t="shared" si="0"/>
        <v>16/01/01</v>
      </c>
      <c r="D41" t="str">
        <f>"CHEMUNG"</f>
        <v>CHEMUNG</v>
      </c>
      <c r="E41">
        <v>22.01</v>
      </c>
      <c r="F41">
        <v>22.84</v>
      </c>
      <c r="G41">
        <v>24.79</v>
      </c>
      <c r="H41">
        <v>0</v>
      </c>
      <c r="I41">
        <v>22.82</v>
      </c>
      <c r="J41">
        <v>23.16</v>
      </c>
      <c r="K41">
        <v>86.44</v>
      </c>
      <c r="L41">
        <v>0</v>
      </c>
      <c r="M41">
        <v>0</v>
      </c>
      <c r="N41">
        <v>0</v>
      </c>
      <c r="O41">
        <v>0</v>
      </c>
    </row>
    <row r="42" spans="1:15" ht="15">
      <c r="A42" t="str">
        <f>"0080671707"</f>
        <v>0080671707</v>
      </c>
      <c r="B42" t="s">
        <v>24</v>
      </c>
      <c r="C42" t="str">
        <f t="shared" si="0"/>
        <v>16/01/01</v>
      </c>
      <c r="D42" t="str">
        <f>"CHEMUNG"</f>
        <v>CHEMUNG</v>
      </c>
      <c r="E42">
        <v>20.12</v>
      </c>
      <c r="F42">
        <v>21.02</v>
      </c>
      <c r="G42">
        <v>0</v>
      </c>
      <c r="H42">
        <v>0</v>
      </c>
      <c r="I42">
        <v>20.32</v>
      </c>
      <c r="J42">
        <v>21.07</v>
      </c>
      <c r="K42">
        <v>85.48</v>
      </c>
      <c r="L42">
        <v>0</v>
      </c>
      <c r="M42">
        <v>0</v>
      </c>
      <c r="N42">
        <v>0</v>
      </c>
      <c r="O42">
        <v>0</v>
      </c>
    </row>
    <row r="43" spans="1:15" ht="15">
      <c r="A43" t="str">
        <f>"0105243707"</f>
        <v>0105243707</v>
      </c>
      <c r="B43" t="s">
        <v>55</v>
      </c>
      <c r="C43" t="str">
        <f t="shared" si="0"/>
        <v>16/01/01</v>
      </c>
      <c r="D43" t="str">
        <f>"CHEMUNG"</f>
        <v>CHEMUNG</v>
      </c>
      <c r="E43">
        <v>27.16</v>
      </c>
      <c r="F43">
        <v>27.59</v>
      </c>
      <c r="G43">
        <v>27.57</v>
      </c>
      <c r="H43">
        <v>269.1</v>
      </c>
      <c r="I43">
        <v>27.35</v>
      </c>
      <c r="J43">
        <v>27.58</v>
      </c>
      <c r="K43">
        <v>169.07</v>
      </c>
      <c r="L43">
        <v>0</v>
      </c>
      <c r="M43">
        <v>21.56</v>
      </c>
      <c r="N43">
        <v>24.03</v>
      </c>
      <c r="O43">
        <v>275.37</v>
      </c>
    </row>
    <row r="44" spans="1:15" ht="15">
      <c r="A44" t="str">
        <f>"0097412108"</f>
        <v>0097412108</v>
      </c>
      <c r="B44" t="s">
        <v>46</v>
      </c>
      <c r="C44" t="str">
        <f t="shared" si="0"/>
        <v>16/01/01</v>
      </c>
      <c r="D44" t="str">
        <f>"CHENANGO"</f>
        <v>CHENANGO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14.41</v>
      </c>
      <c r="N44">
        <v>14.96</v>
      </c>
      <c r="O44">
        <v>0</v>
      </c>
    </row>
    <row r="45" spans="1:15" ht="15">
      <c r="A45" t="str">
        <f>"0105243708"</f>
        <v>0105243708</v>
      </c>
      <c r="B45" t="s">
        <v>55</v>
      </c>
      <c r="C45" t="str">
        <f t="shared" si="0"/>
        <v>16/01/01</v>
      </c>
      <c r="D45" t="str">
        <f>"CHENANGO"</f>
        <v>CHENANGO</v>
      </c>
      <c r="E45">
        <v>26.54</v>
      </c>
      <c r="F45">
        <v>26.09</v>
      </c>
      <c r="G45">
        <v>29.2</v>
      </c>
      <c r="H45">
        <v>292.7</v>
      </c>
      <c r="I45">
        <v>28.98</v>
      </c>
      <c r="J45">
        <v>29.06</v>
      </c>
      <c r="K45">
        <v>169.08</v>
      </c>
      <c r="L45">
        <v>0</v>
      </c>
      <c r="M45">
        <v>26.81</v>
      </c>
      <c r="N45">
        <v>29.06</v>
      </c>
      <c r="O45">
        <v>335.23</v>
      </c>
    </row>
    <row r="46" spans="1:15" ht="15">
      <c r="A46" t="str">
        <f>"0240779809"</f>
        <v>0240779809</v>
      </c>
      <c r="B46" t="s">
        <v>132</v>
      </c>
      <c r="C46" t="str">
        <f t="shared" si="0"/>
        <v>16/01/01</v>
      </c>
      <c r="D46" t="str">
        <f>"CLINTON"</f>
        <v>CLINTON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18.11</v>
      </c>
      <c r="N46">
        <v>20.13</v>
      </c>
      <c r="O46">
        <v>228.27</v>
      </c>
    </row>
    <row r="47" spans="1:15" ht="15">
      <c r="A47" t="str">
        <f>"0089173609"</f>
        <v>0089173609</v>
      </c>
      <c r="B47" t="s">
        <v>32</v>
      </c>
      <c r="C47" t="str">
        <f t="shared" si="0"/>
        <v>16/01/01</v>
      </c>
      <c r="D47" t="str">
        <f>"CLINTON"</f>
        <v>CLINTON</v>
      </c>
      <c r="E47">
        <v>22.49</v>
      </c>
      <c r="F47">
        <v>22.79</v>
      </c>
      <c r="G47">
        <v>24.19</v>
      </c>
      <c r="H47">
        <v>0</v>
      </c>
      <c r="I47">
        <v>24.04</v>
      </c>
      <c r="J47">
        <v>23.26</v>
      </c>
      <c r="K47">
        <v>103.26</v>
      </c>
      <c r="L47">
        <v>0</v>
      </c>
      <c r="M47">
        <v>0</v>
      </c>
      <c r="N47">
        <v>0</v>
      </c>
      <c r="O47">
        <v>0</v>
      </c>
    </row>
    <row r="48" spans="1:15" ht="15">
      <c r="A48" t="str">
        <f>"0256956010"</f>
        <v>0256956010</v>
      </c>
      <c r="B48" t="s">
        <v>134</v>
      </c>
      <c r="C48" t="str">
        <f t="shared" si="0"/>
        <v>16/01/01</v>
      </c>
      <c r="D48" t="str">
        <f aca="true" t="shared" si="3" ref="D48:D53">"COLUMBIA"</f>
        <v>COLUMBIA</v>
      </c>
      <c r="E48">
        <v>0</v>
      </c>
      <c r="F48">
        <v>22.01</v>
      </c>
      <c r="G48">
        <v>24.16</v>
      </c>
      <c r="H48">
        <v>0</v>
      </c>
      <c r="I48">
        <v>0</v>
      </c>
      <c r="J48">
        <v>0</v>
      </c>
      <c r="K48">
        <v>84.55</v>
      </c>
      <c r="L48">
        <v>84.55</v>
      </c>
      <c r="M48">
        <v>0</v>
      </c>
      <c r="N48">
        <v>0</v>
      </c>
      <c r="O48">
        <v>0</v>
      </c>
    </row>
    <row r="49" spans="1:15" ht="15">
      <c r="A49" t="str">
        <f>"0099143310"</f>
        <v>0099143310</v>
      </c>
      <c r="B49" t="s">
        <v>49</v>
      </c>
      <c r="C49" t="str">
        <f t="shared" si="0"/>
        <v>16/01/01</v>
      </c>
      <c r="D49" t="str">
        <f t="shared" si="3"/>
        <v>COLUMBIA</v>
      </c>
      <c r="E49">
        <v>21.34</v>
      </c>
      <c r="F49">
        <v>21.6</v>
      </c>
      <c r="G49">
        <v>29.79</v>
      </c>
      <c r="H49">
        <v>294.52</v>
      </c>
      <c r="I49">
        <v>31.16</v>
      </c>
      <c r="J49">
        <v>27.07</v>
      </c>
      <c r="K49">
        <v>130.89</v>
      </c>
      <c r="L49">
        <v>130.89</v>
      </c>
      <c r="M49">
        <v>18.24</v>
      </c>
      <c r="N49">
        <v>25.96</v>
      </c>
      <c r="O49">
        <v>308.54</v>
      </c>
    </row>
    <row r="50" spans="1:15" ht="15">
      <c r="A50" t="str">
        <f>"0188056010"</f>
        <v>0188056010</v>
      </c>
      <c r="B50" t="s">
        <v>113</v>
      </c>
      <c r="C50" t="str">
        <f t="shared" si="0"/>
        <v>16/01/01</v>
      </c>
      <c r="D50" t="str">
        <f t="shared" si="3"/>
        <v>COLUMBIA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16.39</v>
      </c>
      <c r="N50">
        <v>16.94</v>
      </c>
      <c r="O50">
        <v>215.95</v>
      </c>
    </row>
    <row r="51" spans="1:15" ht="15">
      <c r="A51" t="str">
        <f>"0215044310"</f>
        <v>0215044310</v>
      </c>
      <c r="B51" t="s">
        <v>121</v>
      </c>
      <c r="C51" t="str">
        <f t="shared" si="0"/>
        <v>16/01/01</v>
      </c>
      <c r="D51" t="str">
        <f t="shared" si="3"/>
        <v>COLUMBIA</v>
      </c>
      <c r="E51">
        <v>21.27</v>
      </c>
      <c r="F51">
        <v>21.84</v>
      </c>
      <c r="G51">
        <v>0</v>
      </c>
      <c r="H51">
        <v>0</v>
      </c>
      <c r="I51">
        <v>0</v>
      </c>
      <c r="J51">
        <v>0</v>
      </c>
      <c r="K51">
        <v>104.55</v>
      </c>
      <c r="L51">
        <v>100.41</v>
      </c>
      <c r="M51">
        <v>0</v>
      </c>
      <c r="N51">
        <v>0</v>
      </c>
      <c r="O51">
        <v>0</v>
      </c>
    </row>
    <row r="52" spans="1:15" ht="15">
      <c r="A52" t="str">
        <f>"0035491210"</f>
        <v>0035491210</v>
      </c>
      <c r="B52" t="s">
        <v>7</v>
      </c>
      <c r="C52" t="str">
        <f t="shared" si="0"/>
        <v>16/01/01</v>
      </c>
      <c r="D52" t="str">
        <f t="shared" si="3"/>
        <v>COLUMBIA</v>
      </c>
      <c r="E52">
        <v>22.99</v>
      </c>
      <c r="F52">
        <v>23.65</v>
      </c>
      <c r="G52">
        <v>30.37</v>
      </c>
      <c r="H52">
        <v>265.71</v>
      </c>
      <c r="I52">
        <v>23.47</v>
      </c>
      <c r="J52">
        <v>24.32</v>
      </c>
      <c r="K52">
        <v>104.16</v>
      </c>
      <c r="L52">
        <v>104.16</v>
      </c>
      <c r="M52">
        <v>23.99</v>
      </c>
      <c r="N52">
        <v>25.79</v>
      </c>
      <c r="O52">
        <v>302.32</v>
      </c>
    </row>
    <row r="53" spans="1:15" ht="15">
      <c r="A53" t="str">
        <f>"0170109110"</f>
        <v>0170109110</v>
      </c>
      <c r="B53" t="s">
        <v>91</v>
      </c>
      <c r="C53" t="str">
        <f t="shared" si="0"/>
        <v>16/01/01</v>
      </c>
      <c r="D53" t="str">
        <f t="shared" si="3"/>
        <v>COLUMBIA</v>
      </c>
      <c r="E53">
        <v>21.28</v>
      </c>
      <c r="F53">
        <v>21.54</v>
      </c>
      <c r="G53">
        <v>23.83</v>
      </c>
      <c r="H53">
        <v>314.4</v>
      </c>
      <c r="I53">
        <v>23.61</v>
      </c>
      <c r="J53">
        <v>22.89</v>
      </c>
      <c r="K53">
        <v>84.57</v>
      </c>
      <c r="L53">
        <v>84.57</v>
      </c>
      <c r="M53">
        <v>18.66</v>
      </c>
      <c r="N53">
        <v>20.26</v>
      </c>
      <c r="O53">
        <v>285.35</v>
      </c>
    </row>
    <row r="54" spans="1:15" ht="15">
      <c r="A54" t="str">
        <f>"0177831211"</f>
        <v>0177831211</v>
      </c>
      <c r="B54" t="s">
        <v>104</v>
      </c>
      <c r="C54" t="str">
        <f t="shared" si="0"/>
        <v>16/01/01</v>
      </c>
      <c r="D54" t="str">
        <f>"CORTLAND"</f>
        <v>CORTLAND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15.97</v>
      </c>
      <c r="N54">
        <v>1.09</v>
      </c>
      <c r="O54">
        <v>0</v>
      </c>
    </row>
    <row r="55" spans="1:15" ht="15">
      <c r="A55" t="str">
        <f>"0105243711"</f>
        <v>0105243711</v>
      </c>
      <c r="B55" t="s">
        <v>55</v>
      </c>
      <c r="C55" t="str">
        <f t="shared" si="0"/>
        <v>16/01/01</v>
      </c>
      <c r="D55" t="str">
        <f>"CORTLAND"</f>
        <v>CORTLAND</v>
      </c>
      <c r="E55">
        <v>22.17</v>
      </c>
      <c r="F55">
        <v>22.87</v>
      </c>
      <c r="G55">
        <v>28.12</v>
      </c>
      <c r="H55">
        <v>272.46</v>
      </c>
      <c r="I55">
        <v>27.54</v>
      </c>
      <c r="J55">
        <v>27.69</v>
      </c>
      <c r="K55">
        <v>169.1</v>
      </c>
      <c r="L55">
        <v>0</v>
      </c>
      <c r="M55">
        <v>21.7</v>
      </c>
      <c r="N55">
        <v>24.12</v>
      </c>
      <c r="O55">
        <v>276.74</v>
      </c>
    </row>
    <row r="56" spans="1:15" ht="15">
      <c r="A56" t="str">
        <f>"0281324312"</f>
        <v>0281324312</v>
      </c>
      <c r="B56" t="s">
        <v>138</v>
      </c>
      <c r="C56" t="str">
        <f t="shared" si="0"/>
        <v>16/01/01</v>
      </c>
      <c r="D56" t="str">
        <f aca="true" t="shared" si="4" ref="D56:D61">"DELAWARE"</f>
        <v>DELAWARE</v>
      </c>
      <c r="E56">
        <v>24.28</v>
      </c>
      <c r="F56">
        <v>24.59</v>
      </c>
      <c r="G56">
        <v>0</v>
      </c>
      <c r="H56">
        <v>0</v>
      </c>
      <c r="I56">
        <v>0</v>
      </c>
      <c r="J56">
        <v>0</v>
      </c>
      <c r="K56">
        <v>81.53</v>
      </c>
      <c r="L56">
        <v>81.53</v>
      </c>
      <c r="M56">
        <v>0</v>
      </c>
      <c r="N56">
        <v>0</v>
      </c>
      <c r="O56">
        <v>0</v>
      </c>
    </row>
    <row r="57" spans="1:15" ht="15">
      <c r="A57" t="str">
        <f>"0240779812"</f>
        <v>0240779812</v>
      </c>
      <c r="B57" t="s">
        <v>132</v>
      </c>
      <c r="C57" t="str">
        <f t="shared" si="0"/>
        <v>16/01/01</v>
      </c>
      <c r="D57" t="str">
        <f t="shared" si="4"/>
        <v>DELAWARE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17.62</v>
      </c>
      <c r="N57">
        <v>19.22</v>
      </c>
      <c r="O57">
        <v>229.13</v>
      </c>
    </row>
    <row r="58" spans="1:15" ht="15">
      <c r="A58" t="str">
        <f>"0097412112"</f>
        <v>0097412112</v>
      </c>
      <c r="B58" t="s">
        <v>46</v>
      </c>
      <c r="C58" t="str">
        <f t="shared" si="0"/>
        <v>16/01/01</v>
      </c>
      <c r="D58" t="str">
        <f t="shared" si="4"/>
        <v>DELAWARE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13.85</v>
      </c>
      <c r="N58">
        <v>15.98</v>
      </c>
      <c r="O58">
        <v>0</v>
      </c>
    </row>
    <row r="59" spans="1:15" ht="15">
      <c r="A59" t="str">
        <f>"0106073712"</f>
        <v>0106073712</v>
      </c>
      <c r="B59" t="s">
        <v>56</v>
      </c>
      <c r="C59" t="str">
        <f t="shared" si="0"/>
        <v>16/01/01</v>
      </c>
      <c r="D59" t="str">
        <f t="shared" si="4"/>
        <v>DELAWARE</v>
      </c>
      <c r="E59">
        <v>13.26</v>
      </c>
      <c r="F59">
        <v>13.27</v>
      </c>
      <c r="G59">
        <v>0</v>
      </c>
      <c r="H59">
        <v>0</v>
      </c>
      <c r="I59">
        <v>0</v>
      </c>
      <c r="J59">
        <v>0</v>
      </c>
      <c r="K59">
        <v>80.39</v>
      </c>
      <c r="L59">
        <v>84.58</v>
      </c>
      <c r="M59">
        <v>0</v>
      </c>
      <c r="N59">
        <v>0</v>
      </c>
      <c r="O59">
        <v>0</v>
      </c>
    </row>
    <row r="60" spans="1:15" ht="15">
      <c r="A60" t="str">
        <f>"0035491212"</f>
        <v>0035491212</v>
      </c>
      <c r="B60" t="s">
        <v>7</v>
      </c>
      <c r="C60" t="str">
        <f t="shared" si="0"/>
        <v>16/01/01</v>
      </c>
      <c r="D60" t="str">
        <f t="shared" si="4"/>
        <v>DELAWARE</v>
      </c>
      <c r="E60">
        <v>23.39</v>
      </c>
      <c r="F60">
        <v>24.02</v>
      </c>
      <c r="G60">
        <v>27.24</v>
      </c>
      <c r="H60">
        <v>272.23</v>
      </c>
      <c r="I60">
        <v>25.61</v>
      </c>
      <c r="J60">
        <v>24.82</v>
      </c>
      <c r="K60">
        <v>148.81</v>
      </c>
      <c r="L60">
        <v>148.81</v>
      </c>
      <c r="M60">
        <v>24.96</v>
      </c>
      <c r="N60">
        <v>26.56</v>
      </c>
      <c r="O60">
        <v>309.01</v>
      </c>
    </row>
    <row r="61" spans="1:15" ht="15">
      <c r="A61" t="str">
        <f>"0170109112"</f>
        <v>0170109112</v>
      </c>
      <c r="B61" t="s">
        <v>91</v>
      </c>
      <c r="C61" t="str">
        <f t="shared" si="0"/>
        <v>16/01/01</v>
      </c>
      <c r="D61" t="str">
        <f t="shared" si="4"/>
        <v>DELAWARE</v>
      </c>
      <c r="E61">
        <v>21.24</v>
      </c>
      <c r="F61">
        <v>21.46</v>
      </c>
      <c r="G61">
        <v>23.82</v>
      </c>
      <c r="H61">
        <v>331.08</v>
      </c>
      <c r="I61">
        <v>23.6</v>
      </c>
      <c r="J61">
        <v>22.82</v>
      </c>
      <c r="K61">
        <v>0</v>
      </c>
      <c r="L61">
        <v>0</v>
      </c>
      <c r="M61">
        <v>18.39</v>
      </c>
      <c r="N61">
        <v>19.32</v>
      </c>
      <c r="O61">
        <v>295.22</v>
      </c>
    </row>
    <row r="62" spans="1:15" ht="15">
      <c r="A62" t="str">
        <f>"0128098213"</f>
        <v>0128098213</v>
      </c>
      <c r="B62" t="s">
        <v>69</v>
      </c>
      <c r="C62" t="str">
        <f t="shared" si="0"/>
        <v>16/01/01</v>
      </c>
      <c r="D62" t="str">
        <f aca="true" t="shared" si="5" ref="D62:D71">"DUTCHESS"</f>
        <v>DUTCHESS</v>
      </c>
      <c r="E62">
        <v>21.99</v>
      </c>
      <c r="F62">
        <v>22.74</v>
      </c>
      <c r="G62">
        <v>27.28</v>
      </c>
      <c r="H62">
        <v>262.47</v>
      </c>
      <c r="I62">
        <v>26.65</v>
      </c>
      <c r="J62">
        <v>26.51</v>
      </c>
      <c r="K62">
        <v>133.89</v>
      </c>
      <c r="L62">
        <v>133.89</v>
      </c>
      <c r="M62">
        <v>22.91</v>
      </c>
      <c r="N62">
        <v>24.53</v>
      </c>
      <c r="O62">
        <v>236.37</v>
      </c>
    </row>
    <row r="63" spans="1:15" ht="15">
      <c r="A63" t="str">
        <f>"0099157513"</f>
        <v>0099157513</v>
      </c>
      <c r="B63" t="s">
        <v>51</v>
      </c>
      <c r="C63" t="str">
        <f t="shared" si="0"/>
        <v>16/01/01</v>
      </c>
      <c r="D63" t="str">
        <f t="shared" si="5"/>
        <v>DUTCHESS</v>
      </c>
      <c r="E63">
        <v>22.34</v>
      </c>
      <c r="F63">
        <v>23.42</v>
      </c>
      <c r="G63">
        <v>32.07</v>
      </c>
      <c r="H63">
        <v>296.67</v>
      </c>
      <c r="I63">
        <v>28.81</v>
      </c>
      <c r="J63">
        <v>30.54</v>
      </c>
      <c r="K63">
        <v>139.65</v>
      </c>
      <c r="L63">
        <v>139.65</v>
      </c>
      <c r="M63">
        <v>19.48</v>
      </c>
      <c r="N63">
        <v>29.48</v>
      </c>
      <c r="O63">
        <v>250.13</v>
      </c>
    </row>
    <row r="64" spans="1:15" ht="15">
      <c r="A64" t="str">
        <f>"0099143313"</f>
        <v>0099143313</v>
      </c>
      <c r="B64" t="s">
        <v>49</v>
      </c>
      <c r="C64" t="str">
        <f t="shared" si="0"/>
        <v>16/01/01</v>
      </c>
      <c r="D64" t="str">
        <f t="shared" si="5"/>
        <v>DUTCHESS</v>
      </c>
      <c r="E64">
        <v>20.4</v>
      </c>
      <c r="F64">
        <v>21.52</v>
      </c>
      <c r="G64">
        <v>26.06</v>
      </c>
      <c r="H64">
        <v>228.18</v>
      </c>
      <c r="I64">
        <v>25.64</v>
      </c>
      <c r="J64">
        <v>24.08</v>
      </c>
      <c r="K64">
        <v>124.96</v>
      </c>
      <c r="L64">
        <v>143.23</v>
      </c>
      <c r="M64">
        <v>18.1</v>
      </c>
      <c r="N64">
        <v>23.45</v>
      </c>
      <c r="O64">
        <v>220.04</v>
      </c>
    </row>
    <row r="65" spans="1:15" ht="15">
      <c r="A65" t="str">
        <f>"0116304213"</f>
        <v>0116304213</v>
      </c>
      <c r="B65" t="s">
        <v>63</v>
      </c>
      <c r="C65" t="str">
        <f t="shared" si="0"/>
        <v>16/01/01</v>
      </c>
      <c r="D65" t="str">
        <f t="shared" si="5"/>
        <v>DUTCHESS</v>
      </c>
      <c r="E65">
        <v>17.63</v>
      </c>
      <c r="F65">
        <v>20.84</v>
      </c>
      <c r="G65">
        <v>19.34</v>
      </c>
      <c r="H65">
        <v>232.06</v>
      </c>
      <c r="I65">
        <v>18.29</v>
      </c>
      <c r="J65">
        <v>19.16</v>
      </c>
      <c r="K65">
        <v>84.84</v>
      </c>
      <c r="L65">
        <v>92.4</v>
      </c>
      <c r="M65">
        <v>19.1</v>
      </c>
      <c r="N65">
        <v>20.7</v>
      </c>
      <c r="O65">
        <v>222.94</v>
      </c>
    </row>
    <row r="66" spans="1:15" ht="15">
      <c r="A66" t="str">
        <f>"0094476113"</f>
        <v>0094476113</v>
      </c>
      <c r="B66" t="s">
        <v>42</v>
      </c>
      <c r="C66" t="str">
        <f t="shared" si="0"/>
        <v>16/01/01</v>
      </c>
      <c r="D66" t="str">
        <f t="shared" si="5"/>
        <v>DUTCHESS</v>
      </c>
      <c r="E66">
        <v>0</v>
      </c>
      <c r="F66">
        <v>20.65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>
      <c r="A67" t="str">
        <f>"0173893013"</f>
        <v>0173893013</v>
      </c>
      <c r="B67" t="s">
        <v>98</v>
      </c>
      <c r="C67" t="str">
        <f t="shared" si="0"/>
        <v>16/01/01</v>
      </c>
      <c r="D67" t="str">
        <f t="shared" si="5"/>
        <v>DUTCHESS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16.47</v>
      </c>
      <c r="N67">
        <v>0</v>
      </c>
      <c r="O67">
        <v>0</v>
      </c>
    </row>
    <row r="68" spans="1:15" ht="15">
      <c r="A68" t="str">
        <f>"0091059013"</f>
        <v>0091059013</v>
      </c>
      <c r="B68" t="s">
        <v>36</v>
      </c>
      <c r="C68" t="str">
        <f t="shared" si="0"/>
        <v>16/01/01</v>
      </c>
      <c r="D68" t="str">
        <f t="shared" si="5"/>
        <v>DUTCHESS</v>
      </c>
      <c r="E68">
        <v>19.83</v>
      </c>
      <c r="F68">
        <v>20.26</v>
      </c>
      <c r="G68">
        <v>22.51</v>
      </c>
      <c r="H68">
        <v>256.01</v>
      </c>
      <c r="I68">
        <v>22.12</v>
      </c>
      <c r="J68">
        <v>22.99</v>
      </c>
      <c r="K68">
        <v>75.42</v>
      </c>
      <c r="L68">
        <v>90.03</v>
      </c>
      <c r="M68">
        <v>18</v>
      </c>
      <c r="N68">
        <v>20.75</v>
      </c>
      <c r="O68">
        <v>226.49</v>
      </c>
    </row>
    <row r="69" spans="1:15" ht="15">
      <c r="A69" t="str">
        <f>"0134254313"</f>
        <v>0134254313</v>
      </c>
      <c r="B69" t="s">
        <v>71</v>
      </c>
      <c r="C69" t="str">
        <f t="shared" si="0"/>
        <v>16/01/01</v>
      </c>
      <c r="D69" t="str">
        <f t="shared" si="5"/>
        <v>DUTCHESS</v>
      </c>
      <c r="E69">
        <v>19.96</v>
      </c>
      <c r="F69">
        <v>20.75</v>
      </c>
      <c r="G69">
        <v>19.97</v>
      </c>
      <c r="H69">
        <v>263.37</v>
      </c>
      <c r="I69">
        <v>18.34</v>
      </c>
      <c r="J69">
        <v>19.21</v>
      </c>
      <c r="K69">
        <v>76.56</v>
      </c>
      <c r="L69">
        <v>0</v>
      </c>
      <c r="M69">
        <v>18.09</v>
      </c>
      <c r="N69">
        <v>19.69</v>
      </c>
      <c r="O69">
        <v>236.73</v>
      </c>
    </row>
    <row r="70" spans="1:15" ht="15">
      <c r="A70" t="str">
        <f>"0124722713"</f>
        <v>0124722713</v>
      </c>
      <c r="B70" t="s">
        <v>68</v>
      </c>
      <c r="C70" t="str">
        <f t="shared" si="0"/>
        <v>16/01/01</v>
      </c>
      <c r="D70" t="str">
        <f t="shared" si="5"/>
        <v>DUTCHESS</v>
      </c>
      <c r="E70">
        <v>20.32</v>
      </c>
      <c r="F70">
        <v>20.32</v>
      </c>
      <c r="G70">
        <v>0</v>
      </c>
      <c r="H70">
        <v>253.96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1:15" ht="15">
      <c r="A71" t="str">
        <f>"0035491213"</f>
        <v>0035491213</v>
      </c>
      <c r="B71" t="s">
        <v>7</v>
      </c>
      <c r="C71" t="str">
        <f aca="true" t="shared" si="6" ref="C71:C134">"16/01/01"</f>
        <v>16/01/01</v>
      </c>
      <c r="D71" t="str">
        <f t="shared" si="5"/>
        <v>DUTCHESS</v>
      </c>
      <c r="E71">
        <v>17.42</v>
      </c>
      <c r="F71">
        <v>18.25</v>
      </c>
      <c r="G71">
        <v>19.21</v>
      </c>
      <c r="H71">
        <v>222.66</v>
      </c>
      <c r="I71">
        <v>23.76</v>
      </c>
      <c r="J71">
        <v>24.09</v>
      </c>
      <c r="K71">
        <v>142.93</v>
      </c>
      <c r="L71">
        <v>103.62</v>
      </c>
      <c r="M71">
        <v>16.91</v>
      </c>
      <c r="N71">
        <v>19.09</v>
      </c>
      <c r="O71">
        <v>220.33</v>
      </c>
    </row>
    <row r="72" spans="1:15" ht="15">
      <c r="A72" t="str">
        <f>"0118018914"</f>
        <v>0118018914</v>
      </c>
      <c r="B72" t="s">
        <v>64</v>
      </c>
      <c r="C72" t="str">
        <f t="shared" si="6"/>
        <v>16/01/01</v>
      </c>
      <c r="D72" t="str">
        <f aca="true" t="shared" si="7" ref="D72:D84">"ERIE"</f>
        <v>ERIE</v>
      </c>
      <c r="E72">
        <v>21.31</v>
      </c>
      <c r="F72">
        <v>22.1</v>
      </c>
      <c r="G72">
        <v>21.7</v>
      </c>
      <c r="H72">
        <v>258.2</v>
      </c>
      <c r="I72">
        <v>21.34</v>
      </c>
      <c r="J72">
        <v>22.21</v>
      </c>
      <c r="K72">
        <v>79.16</v>
      </c>
      <c r="L72">
        <v>0</v>
      </c>
      <c r="M72">
        <v>19.72</v>
      </c>
      <c r="N72">
        <v>27.98</v>
      </c>
      <c r="O72">
        <v>298.73</v>
      </c>
    </row>
    <row r="73" spans="1:15" ht="15">
      <c r="A73" t="str">
        <f>"0084696014"</f>
        <v>0084696014</v>
      </c>
      <c r="B73" t="s">
        <v>29</v>
      </c>
      <c r="C73" t="str">
        <f t="shared" si="6"/>
        <v>16/01/01</v>
      </c>
      <c r="D73" t="str">
        <f t="shared" si="7"/>
        <v>ERIE</v>
      </c>
      <c r="E73">
        <v>16.88</v>
      </c>
      <c r="F73">
        <v>17.53</v>
      </c>
      <c r="G73">
        <v>24.86</v>
      </c>
      <c r="H73">
        <v>304.36</v>
      </c>
      <c r="I73">
        <v>16.67</v>
      </c>
      <c r="J73">
        <v>17.64</v>
      </c>
      <c r="K73">
        <v>122.29</v>
      </c>
      <c r="L73">
        <v>0</v>
      </c>
      <c r="M73">
        <v>21.65</v>
      </c>
      <c r="N73">
        <v>23.6</v>
      </c>
      <c r="O73">
        <v>236.62</v>
      </c>
    </row>
    <row r="74" spans="1:15" ht="15">
      <c r="A74" t="str">
        <f>"0096733114"</f>
        <v>0096733114</v>
      </c>
      <c r="B74" t="s">
        <v>45</v>
      </c>
      <c r="C74" t="str">
        <f t="shared" si="6"/>
        <v>16/01/01</v>
      </c>
      <c r="D74" t="str">
        <f t="shared" si="7"/>
        <v>ERIE</v>
      </c>
      <c r="E74">
        <v>12.47</v>
      </c>
      <c r="F74">
        <v>19.57</v>
      </c>
      <c r="G74">
        <v>19.76</v>
      </c>
      <c r="H74">
        <v>0</v>
      </c>
      <c r="I74">
        <v>12.7</v>
      </c>
      <c r="J74">
        <v>19.67</v>
      </c>
      <c r="K74">
        <v>79.17</v>
      </c>
      <c r="L74">
        <v>0</v>
      </c>
      <c r="M74">
        <v>0</v>
      </c>
      <c r="N74">
        <v>0</v>
      </c>
      <c r="O74">
        <v>0</v>
      </c>
    </row>
    <row r="75" spans="1:15" ht="15">
      <c r="A75" t="str">
        <f>"0104012414"</f>
        <v>0104012414</v>
      </c>
      <c r="B75" t="s">
        <v>53</v>
      </c>
      <c r="C75" t="str">
        <f t="shared" si="6"/>
        <v>16/01/01</v>
      </c>
      <c r="D75" t="str">
        <f t="shared" si="7"/>
        <v>ERIE</v>
      </c>
      <c r="E75">
        <v>22.79</v>
      </c>
      <c r="F75">
        <v>20.52</v>
      </c>
      <c r="G75">
        <v>29.12</v>
      </c>
      <c r="H75">
        <v>0</v>
      </c>
      <c r="I75">
        <v>25.87</v>
      </c>
      <c r="J75">
        <v>25.82</v>
      </c>
      <c r="K75">
        <v>155.72</v>
      </c>
      <c r="L75">
        <v>0</v>
      </c>
      <c r="M75">
        <v>0</v>
      </c>
      <c r="N75">
        <v>0</v>
      </c>
      <c r="O75">
        <v>0</v>
      </c>
    </row>
    <row r="76" spans="1:15" ht="15">
      <c r="A76" t="str">
        <f>"0359422714"</f>
        <v>0359422714</v>
      </c>
      <c r="B76" t="s">
        <v>158</v>
      </c>
      <c r="C76" t="str">
        <f t="shared" si="6"/>
        <v>16/01/01</v>
      </c>
      <c r="D76" t="str">
        <f t="shared" si="7"/>
        <v>ERIE</v>
      </c>
      <c r="E76">
        <v>28.73</v>
      </c>
      <c r="F76">
        <v>30.32</v>
      </c>
      <c r="G76">
        <v>32.06</v>
      </c>
      <c r="H76">
        <v>0</v>
      </c>
      <c r="I76">
        <v>28.79</v>
      </c>
      <c r="J76">
        <v>30.53</v>
      </c>
      <c r="K76">
        <v>157.88</v>
      </c>
      <c r="L76">
        <v>158.28</v>
      </c>
      <c r="M76">
        <v>28.6</v>
      </c>
      <c r="N76">
        <v>31.79</v>
      </c>
      <c r="O76">
        <v>338.12</v>
      </c>
    </row>
    <row r="77" spans="1:15" ht="15">
      <c r="A77" t="str">
        <f>"0199214914"</f>
        <v>0199214914</v>
      </c>
      <c r="B77" t="s">
        <v>115</v>
      </c>
      <c r="C77" t="str">
        <f t="shared" si="6"/>
        <v>16/01/01</v>
      </c>
      <c r="D77" t="str">
        <f t="shared" si="7"/>
        <v>ERIE</v>
      </c>
      <c r="E77">
        <v>20.86</v>
      </c>
      <c r="F77">
        <v>21.7</v>
      </c>
      <c r="G77">
        <v>0</v>
      </c>
      <c r="H77">
        <v>0</v>
      </c>
      <c r="I77">
        <v>18.12</v>
      </c>
      <c r="J77">
        <v>21.67</v>
      </c>
      <c r="K77">
        <v>81.94</v>
      </c>
      <c r="L77">
        <v>80.96</v>
      </c>
      <c r="M77">
        <v>20.17</v>
      </c>
      <c r="N77">
        <v>22.47</v>
      </c>
      <c r="O77">
        <v>257.02</v>
      </c>
    </row>
    <row r="78" spans="1:15" ht="15">
      <c r="A78" t="str">
        <f>"0428642614"</f>
        <v>0428642614</v>
      </c>
      <c r="B78" t="s">
        <v>172</v>
      </c>
      <c r="C78" t="str">
        <f t="shared" si="6"/>
        <v>16/01/01</v>
      </c>
      <c r="D78" t="str">
        <f t="shared" si="7"/>
        <v>ERIE</v>
      </c>
      <c r="E78">
        <v>25.79</v>
      </c>
      <c r="F78">
        <v>26.59</v>
      </c>
      <c r="G78">
        <v>26.74</v>
      </c>
      <c r="H78">
        <v>248.09</v>
      </c>
      <c r="I78">
        <v>25.11</v>
      </c>
      <c r="J78">
        <v>25.98</v>
      </c>
      <c r="K78">
        <v>90.78</v>
      </c>
      <c r="L78">
        <v>90.78</v>
      </c>
      <c r="M78">
        <v>0</v>
      </c>
      <c r="N78">
        <v>0</v>
      </c>
      <c r="O78">
        <v>0</v>
      </c>
    </row>
    <row r="79" spans="1:15" ht="15">
      <c r="A79" t="str">
        <f>"0080671714"</f>
        <v>0080671714</v>
      </c>
      <c r="B79" t="s">
        <v>24</v>
      </c>
      <c r="C79" t="str">
        <f t="shared" si="6"/>
        <v>16/01/01</v>
      </c>
      <c r="D79" t="str">
        <f t="shared" si="7"/>
        <v>ERIE</v>
      </c>
      <c r="E79">
        <v>19.01</v>
      </c>
      <c r="F79">
        <v>19.79</v>
      </c>
      <c r="G79">
        <v>0</v>
      </c>
      <c r="H79">
        <v>0</v>
      </c>
      <c r="I79">
        <v>19.03</v>
      </c>
      <c r="J79">
        <v>19.9</v>
      </c>
      <c r="K79">
        <v>83.8</v>
      </c>
      <c r="L79">
        <v>0</v>
      </c>
      <c r="M79">
        <v>0</v>
      </c>
      <c r="N79">
        <v>0</v>
      </c>
      <c r="O79">
        <v>0</v>
      </c>
    </row>
    <row r="80" spans="1:15" ht="15">
      <c r="A80" t="str">
        <f>"0088797614"</f>
        <v>0088797614</v>
      </c>
      <c r="B80" t="s">
        <v>31</v>
      </c>
      <c r="C80" t="str">
        <f t="shared" si="6"/>
        <v>16/01/01</v>
      </c>
      <c r="D80" t="str">
        <f t="shared" si="7"/>
        <v>ERIE</v>
      </c>
      <c r="E80">
        <v>20.82</v>
      </c>
      <c r="F80">
        <v>20.85</v>
      </c>
      <c r="G80">
        <v>20.85</v>
      </c>
      <c r="H80">
        <v>0</v>
      </c>
      <c r="I80">
        <v>20.85</v>
      </c>
      <c r="J80">
        <v>20.85</v>
      </c>
      <c r="K80">
        <v>0</v>
      </c>
      <c r="L80">
        <v>59.78</v>
      </c>
      <c r="M80">
        <v>0</v>
      </c>
      <c r="N80">
        <v>0</v>
      </c>
      <c r="O80">
        <v>0</v>
      </c>
    </row>
    <row r="81" spans="1:15" ht="15">
      <c r="A81" t="str">
        <f>"0185593014"</f>
        <v>0185593014</v>
      </c>
      <c r="B81" t="s">
        <v>112</v>
      </c>
      <c r="C81" t="str">
        <f t="shared" si="6"/>
        <v>16/01/01</v>
      </c>
      <c r="D81" t="str">
        <f t="shared" si="7"/>
        <v>ERIE</v>
      </c>
      <c r="E81">
        <v>17.21</v>
      </c>
      <c r="F81">
        <v>17.21</v>
      </c>
      <c r="G81">
        <v>0</v>
      </c>
      <c r="H81">
        <v>0</v>
      </c>
      <c r="I81">
        <v>0</v>
      </c>
      <c r="J81">
        <v>17.21</v>
      </c>
      <c r="K81">
        <v>32.52</v>
      </c>
      <c r="L81">
        <v>26.64</v>
      </c>
      <c r="M81">
        <v>0</v>
      </c>
      <c r="N81">
        <v>0</v>
      </c>
      <c r="O81">
        <v>0</v>
      </c>
    </row>
    <row r="82" spans="1:15" ht="15">
      <c r="A82" t="str">
        <f>"0104801714"</f>
        <v>0104801714</v>
      </c>
      <c r="B82" t="s">
        <v>54</v>
      </c>
      <c r="C82" t="str">
        <f t="shared" si="6"/>
        <v>16/01/01</v>
      </c>
      <c r="D82" t="str">
        <f t="shared" si="7"/>
        <v>ERIE</v>
      </c>
      <c r="E82">
        <v>16.22</v>
      </c>
      <c r="F82">
        <v>17.01</v>
      </c>
      <c r="G82">
        <v>22.38</v>
      </c>
      <c r="H82">
        <v>224.31</v>
      </c>
      <c r="I82">
        <v>16.25</v>
      </c>
      <c r="J82">
        <v>17.12</v>
      </c>
      <c r="K82">
        <v>24.03</v>
      </c>
      <c r="L82">
        <v>0</v>
      </c>
      <c r="M82">
        <v>16.15</v>
      </c>
      <c r="N82">
        <v>17.75</v>
      </c>
      <c r="O82">
        <v>0</v>
      </c>
    </row>
    <row r="83" spans="1:15" ht="15">
      <c r="A83" t="str">
        <f>"0081106914"</f>
        <v>0081106914</v>
      </c>
      <c r="B83" t="s">
        <v>27</v>
      </c>
      <c r="C83" t="str">
        <f t="shared" si="6"/>
        <v>16/01/01</v>
      </c>
      <c r="D83" t="str">
        <f t="shared" si="7"/>
        <v>ERIE</v>
      </c>
      <c r="E83">
        <v>21.4</v>
      </c>
      <c r="F83">
        <v>22.48</v>
      </c>
      <c r="G83">
        <v>24.34</v>
      </c>
      <c r="H83">
        <v>269.58</v>
      </c>
      <c r="I83">
        <v>21.83</v>
      </c>
      <c r="J83">
        <v>21.23</v>
      </c>
      <c r="K83">
        <v>97.53</v>
      </c>
      <c r="L83">
        <v>97.55</v>
      </c>
      <c r="M83">
        <v>18.7</v>
      </c>
      <c r="N83">
        <v>21.5</v>
      </c>
      <c r="O83">
        <v>238.97</v>
      </c>
    </row>
    <row r="84" spans="1:15" ht="15">
      <c r="A84" t="str">
        <f>"0240778914"</f>
        <v>0240778914</v>
      </c>
      <c r="B84" t="s">
        <v>129</v>
      </c>
      <c r="C84" t="str">
        <f t="shared" si="6"/>
        <v>16/01/01</v>
      </c>
      <c r="D84" t="str">
        <f t="shared" si="7"/>
        <v>ERIE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17.27</v>
      </c>
      <c r="N84">
        <v>0</v>
      </c>
      <c r="O84">
        <v>0</v>
      </c>
    </row>
    <row r="85" spans="1:15" ht="15">
      <c r="A85" t="str">
        <f>"0179301715"</f>
        <v>0179301715</v>
      </c>
      <c r="B85" t="s">
        <v>105</v>
      </c>
      <c r="C85" t="str">
        <f t="shared" si="6"/>
        <v>16/01/01</v>
      </c>
      <c r="D85" t="str">
        <f>"ESSEX"</f>
        <v>ESSEX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13.99</v>
      </c>
      <c r="N85">
        <v>15.92</v>
      </c>
      <c r="O85">
        <v>0</v>
      </c>
    </row>
    <row r="86" spans="1:15" ht="15">
      <c r="A86" t="str">
        <f>"0089173615"</f>
        <v>0089173615</v>
      </c>
      <c r="B86" t="s">
        <v>32</v>
      </c>
      <c r="C86" t="str">
        <f t="shared" si="6"/>
        <v>16/01/01</v>
      </c>
      <c r="D86" t="str">
        <f>"ESSEX"</f>
        <v>ESSEX</v>
      </c>
      <c r="E86">
        <v>22.41</v>
      </c>
      <c r="F86">
        <v>22.72</v>
      </c>
      <c r="G86">
        <v>0</v>
      </c>
      <c r="H86">
        <v>0</v>
      </c>
      <c r="I86">
        <v>23.98</v>
      </c>
      <c r="J86">
        <v>23.19</v>
      </c>
      <c r="K86">
        <v>103.26</v>
      </c>
      <c r="L86">
        <v>0</v>
      </c>
      <c r="M86">
        <v>0</v>
      </c>
      <c r="N86">
        <v>0</v>
      </c>
      <c r="O86">
        <v>0</v>
      </c>
    </row>
    <row r="87" spans="1:15" ht="15">
      <c r="A87" t="str">
        <f>"0080671716"</f>
        <v>0080671716</v>
      </c>
      <c r="B87" t="s">
        <v>24</v>
      </c>
      <c r="C87" t="str">
        <f t="shared" si="6"/>
        <v>16/01/01</v>
      </c>
      <c r="D87" t="str">
        <f>"FRANKLIN"</f>
        <v>FRANKLIN</v>
      </c>
      <c r="E87">
        <v>20.41</v>
      </c>
      <c r="F87">
        <v>20.72</v>
      </c>
      <c r="G87">
        <v>0</v>
      </c>
      <c r="H87">
        <v>0</v>
      </c>
      <c r="I87">
        <v>0</v>
      </c>
      <c r="J87">
        <v>0</v>
      </c>
      <c r="K87">
        <v>94.26</v>
      </c>
      <c r="L87">
        <v>0</v>
      </c>
      <c r="M87">
        <v>0</v>
      </c>
      <c r="N87">
        <v>0</v>
      </c>
      <c r="O87">
        <v>0</v>
      </c>
    </row>
    <row r="88" spans="1:15" ht="15">
      <c r="A88" t="str">
        <f>"0089173616"</f>
        <v>0089173616</v>
      </c>
      <c r="B88" t="s">
        <v>32</v>
      </c>
      <c r="C88" t="str">
        <f t="shared" si="6"/>
        <v>16/01/01</v>
      </c>
      <c r="D88" t="str">
        <f>"FRANKLIN"</f>
        <v>FRANKLIN</v>
      </c>
      <c r="E88">
        <v>22.36</v>
      </c>
      <c r="F88">
        <v>22.66</v>
      </c>
      <c r="G88">
        <v>24.25</v>
      </c>
      <c r="H88">
        <v>0</v>
      </c>
      <c r="I88">
        <v>23.92</v>
      </c>
      <c r="J88">
        <v>24.79</v>
      </c>
      <c r="K88">
        <v>103.26</v>
      </c>
      <c r="L88">
        <v>0</v>
      </c>
      <c r="M88">
        <v>19.07</v>
      </c>
      <c r="N88">
        <v>0</v>
      </c>
      <c r="O88">
        <v>0</v>
      </c>
    </row>
    <row r="89" spans="1:15" ht="15">
      <c r="A89" t="str">
        <f>"0174106016"</f>
        <v>0174106016</v>
      </c>
      <c r="B89" t="s">
        <v>100</v>
      </c>
      <c r="C89" t="str">
        <f t="shared" si="6"/>
        <v>16/01/01</v>
      </c>
      <c r="D89" t="str">
        <f>"FRANKLIN"</f>
        <v>FRANKLIN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18.06</v>
      </c>
      <c r="N89">
        <v>0</v>
      </c>
      <c r="O89">
        <v>0</v>
      </c>
    </row>
    <row r="90" spans="1:15" ht="15">
      <c r="A90" t="str">
        <f>"0240778916"</f>
        <v>0240778916</v>
      </c>
      <c r="B90" t="s">
        <v>130</v>
      </c>
      <c r="C90" t="str">
        <f t="shared" si="6"/>
        <v>16/01/01</v>
      </c>
      <c r="D90" t="str">
        <f>"FRANKLIN"</f>
        <v>FRANKLIN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16.69</v>
      </c>
      <c r="N90">
        <v>0</v>
      </c>
      <c r="O90">
        <v>0</v>
      </c>
    </row>
    <row r="91" spans="1:15" ht="15">
      <c r="A91" t="str">
        <f>"0352135917"</f>
        <v>0352135917</v>
      </c>
      <c r="B91" t="s">
        <v>156</v>
      </c>
      <c r="C91" t="str">
        <f t="shared" si="6"/>
        <v>16/01/01</v>
      </c>
      <c r="D91" t="str">
        <f>"FULTON"</f>
        <v>FULTON</v>
      </c>
      <c r="E91">
        <v>13.1</v>
      </c>
      <c r="F91">
        <v>14.84</v>
      </c>
      <c r="G91">
        <v>0</v>
      </c>
      <c r="H91">
        <v>0</v>
      </c>
      <c r="I91">
        <v>0</v>
      </c>
      <c r="J91">
        <v>0</v>
      </c>
      <c r="K91">
        <v>85.09</v>
      </c>
      <c r="L91">
        <v>85.09</v>
      </c>
      <c r="M91">
        <v>17.89</v>
      </c>
      <c r="N91">
        <v>0</v>
      </c>
      <c r="O91">
        <v>0</v>
      </c>
    </row>
    <row r="92" spans="1:15" ht="15">
      <c r="A92" t="str">
        <f>"0097412117"</f>
        <v>0097412117</v>
      </c>
      <c r="B92" t="s">
        <v>46</v>
      </c>
      <c r="C92" t="str">
        <f t="shared" si="6"/>
        <v>16/01/01</v>
      </c>
      <c r="D92" t="str">
        <f>"FULTON"</f>
        <v>FULTON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15.34</v>
      </c>
      <c r="N92">
        <v>15.26</v>
      </c>
      <c r="O92">
        <v>0</v>
      </c>
    </row>
    <row r="93" spans="1:15" ht="15">
      <c r="A93" t="str">
        <f>"0170109117"</f>
        <v>0170109117</v>
      </c>
      <c r="B93" t="s">
        <v>91</v>
      </c>
      <c r="C93" t="str">
        <f t="shared" si="6"/>
        <v>16/01/01</v>
      </c>
      <c r="D93" t="str">
        <f>"FULTON"</f>
        <v>FULTON</v>
      </c>
      <c r="E93">
        <v>21.65</v>
      </c>
      <c r="F93">
        <v>21.65</v>
      </c>
      <c r="G93">
        <v>24.59</v>
      </c>
      <c r="H93">
        <v>369.04</v>
      </c>
      <c r="I93">
        <v>24.59</v>
      </c>
      <c r="J93">
        <v>24.11</v>
      </c>
      <c r="K93">
        <v>85.09</v>
      </c>
      <c r="L93">
        <v>85.09</v>
      </c>
      <c r="M93">
        <v>18.48</v>
      </c>
      <c r="N93">
        <v>19.71</v>
      </c>
      <c r="O93">
        <v>309.34</v>
      </c>
    </row>
    <row r="94" spans="1:15" ht="15">
      <c r="A94" t="str">
        <f>"0194568818"</f>
        <v>0194568818</v>
      </c>
      <c r="B94" t="s">
        <v>114</v>
      </c>
      <c r="C94" t="str">
        <f t="shared" si="6"/>
        <v>16/01/01</v>
      </c>
      <c r="D94" t="str">
        <f>"GENESEE"</f>
        <v>GENESEE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16.17</v>
      </c>
      <c r="N94">
        <v>19.66</v>
      </c>
      <c r="O94">
        <v>0</v>
      </c>
    </row>
    <row r="95" spans="1:15" ht="15">
      <c r="A95" t="str">
        <f>"0090452718"</f>
        <v>0090452718</v>
      </c>
      <c r="B95" t="s">
        <v>33</v>
      </c>
      <c r="C95" t="str">
        <f t="shared" si="6"/>
        <v>16/01/01</v>
      </c>
      <c r="D95" t="str">
        <f>"GENESEE"</f>
        <v>GENESEE</v>
      </c>
      <c r="E95">
        <v>25.35</v>
      </c>
      <c r="F95">
        <v>25.67</v>
      </c>
      <c r="G95">
        <v>0</v>
      </c>
      <c r="H95">
        <v>0</v>
      </c>
      <c r="I95">
        <v>0</v>
      </c>
      <c r="J95">
        <v>0</v>
      </c>
      <c r="K95">
        <v>85.07</v>
      </c>
      <c r="L95">
        <v>85.07</v>
      </c>
      <c r="M95">
        <v>0</v>
      </c>
      <c r="N95">
        <v>0</v>
      </c>
      <c r="O95">
        <v>0</v>
      </c>
    </row>
    <row r="96" spans="1:15" ht="15">
      <c r="A96" t="str">
        <f>"0035491218"</f>
        <v>0035491218</v>
      </c>
      <c r="B96" t="s">
        <v>7</v>
      </c>
      <c r="C96" t="str">
        <f t="shared" si="6"/>
        <v>16/01/01</v>
      </c>
      <c r="D96" t="str">
        <f>"GENESEE"</f>
        <v>GENESEE</v>
      </c>
      <c r="E96">
        <v>26.91</v>
      </c>
      <c r="F96">
        <v>29.99</v>
      </c>
      <c r="G96">
        <v>31.19</v>
      </c>
      <c r="H96">
        <v>282.62</v>
      </c>
      <c r="I96">
        <v>29.1</v>
      </c>
      <c r="J96">
        <v>28.23</v>
      </c>
      <c r="K96">
        <v>156.68</v>
      </c>
      <c r="L96">
        <v>156.68</v>
      </c>
      <c r="M96">
        <v>28.6</v>
      </c>
      <c r="N96">
        <v>31.56</v>
      </c>
      <c r="O96">
        <v>352.38</v>
      </c>
    </row>
    <row r="97" spans="1:15" ht="15">
      <c r="A97" t="str">
        <f>"0081106918"</f>
        <v>0081106918</v>
      </c>
      <c r="B97" t="s">
        <v>27</v>
      </c>
      <c r="C97" t="str">
        <f t="shared" si="6"/>
        <v>16/01/01</v>
      </c>
      <c r="D97" t="str">
        <f>"GENESEE"</f>
        <v>GENESEE</v>
      </c>
      <c r="E97">
        <v>22.76</v>
      </c>
      <c r="F97">
        <v>22.95</v>
      </c>
      <c r="G97">
        <v>25.75</v>
      </c>
      <c r="H97">
        <v>267.77</v>
      </c>
      <c r="I97">
        <v>25.21</v>
      </c>
      <c r="J97">
        <v>24.53</v>
      </c>
      <c r="K97">
        <v>104.68</v>
      </c>
      <c r="L97">
        <v>97.9</v>
      </c>
      <c r="M97">
        <v>18.92</v>
      </c>
      <c r="N97">
        <v>21.45</v>
      </c>
      <c r="O97">
        <v>238.46</v>
      </c>
    </row>
    <row r="98" spans="1:15" ht="15">
      <c r="A98" t="str">
        <f>"0256956019"</f>
        <v>0256956019</v>
      </c>
      <c r="B98" t="s">
        <v>134</v>
      </c>
      <c r="C98" t="str">
        <f t="shared" si="6"/>
        <v>16/01/01</v>
      </c>
      <c r="D98" t="str">
        <f>"GREENE"</f>
        <v>GREENE</v>
      </c>
      <c r="E98">
        <v>0</v>
      </c>
      <c r="F98">
        <v>22.01</v>
      </c>
      <c r="G98">
        <v>24.16</v>
      </c>
      <c r="H98">
        <v>0</v>
      </c>
      <c r="I98">
        <v>0</v>
      </c>
      <c r="J98">
        <v>0</v>
      </c>
      <c r="K98">
        <v>84.55</v>
      </c>
      <c r="L98">
        <v>84.55</v>
      </c>
      <c r="M98">
        <v>0</v>
      </c>
      <c r="N98">
        <v>0</v>
      </c>
      <c r="O98">
        <v>0</v>
      </c>
    </row>
    <row r="99" spans="1:15" ht="15">
      <c r="A99" t="str">
        <f>"0099143319"</f>
        <v>0099143319</v>
      </c>
      <c r="B99" t="s">
        <v>49</v>
      </c>
      <c r="C99" t="str">
        <f t="shared" si="6"/>
        <v>16/01/01</v>
      </c>
      <c r="D99" t="str">
        <f>"GREENE"</f>
        <v>GREENE</v>
      </c>
      <c r="E99">
        <v>22.08</v>
      </c>
      <c r="F99">
        <v>22.4</v>
      </c>
      <c r="G99">
        <v>29.36</v>
      </c>
      <c r="H99">
        <v>294.24</v>
      </c>
      <c r="I99">
        <v>30.97</v>
      </c>
      <c r="J99">
        <v>27.02</v>
      </c>
      <c r="K99">
        <v>169.12</v>
      </c>
      <c r="L99">
        <v>166.26</v>
      </c>
      <c r="M99">
        <v>18.11</v>
      </c>
      <c r="N99">
        <v>25.92</v>
      </c>
      <c r="O99">
        <v>308.68</v>
      </c>
    </row>
    <row r="100" spans="1:15" ht="15">
      <c r="A100" t="str">
        <f>"0188056019"</f>
        <v>0188056019</v>
      </c>
      <c r="B100" t="s">
        <v>113</v>
      </c>
      <c r="C100" t="str">
        <f t="shared" si="6"/>
        <v>16/01/01</v>
      </c>
      <c r="D100" t="str">
        <f>"GREENE"</f>
        <v>GREENE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16.59</v>
      </c>
      <c r="N100">
        <v>18.19</v>
      </c>
      <c r="O100">
        <v>218.63</v>
      </c>
    </row>
    <row r="101" spans="1:15" ht="15">
      <c r="A101" t="str">
        <f>"0035491219"</f>
        <v>0035491219</v>
      </c>
      <c r="B101" t="s">
        <v>7</v>
      </c>
      <c r="C101" t="str">
        <f t="shared" si="6"/>
        <v>16/01/01</v>
      </c>
      <c r="D101" t="str">
        <f>"GREENE"</f>
        <v>GREENE</v>
      </c>
      <c r="E101">
        <v>24.71</v>
      </c>
      <c r="F101">
        <v>23.24</v>
      </c>
      <c r="G101">
        <v>24.88</v>
      </c>
      <c r="H101">
        <v>282.62</v>
      </c>
      <c r="I101">
        <v>27.44</v>
      </c>
      <c r="J101">
        <v>26.25</v>
      </c>
      <c r="K101">
        <v>167.54</v>
      </c>
      <c r="L101">
        <v>167.54</v>
      </c>
      <c r="M101">
        <v>23.12</v>
      </c>
      <c r="N101">
        <v>26.39</v>
      </c>
      <c r="O101">
        <v>288.15</v>
      </c>
    </row>
    <row r="102" spans="1:15" ht="15">
      <c r="A102" t="str">
        <f>"0170109119"</f>
        <v>0170109119</v>
      </c>
      <c r="B102" t="s">
        <v>91</v>
      </c>
      <c r="C102" t="str">
        <f t="shared" si="6"/>
        <v>16/01/01</v>
      </c>
      <c r="D102" t="str">
        <f>"GREENE"</f>
        <v>GREENE</v>
      </c>
      <c r="E102">
        <v>21.25</v>
      </c>
      <c r="F102">
        <v>21.56</v>
      </c>
      <c r="G102">
        <v>22.13</v>
      </c>
      <c r="H102">
        <v>324.89</v>
      </c>
      <c r="I102">
        <v>22.13</v>
      </c>
      <c r="J102">
        <v>22.14</v>
      </c>
      <c r="K102">
        <v>84.57</v>
      </c>
      <c r="L102">
        <v>84.57</v>
      </c>
      <c r="M102">
        <v>18.61</v>
      </c>
      <c r="N102">
        <v>20.22</v>
      </c>
      <c r="O102">
        <v>287.97</v>
      </c>
    </row>
    <row r="103" spans="1:15" ht="15">
      <c r="A103" t="str">
        <f>"0240779820"</f>
        <v>0240779820</v>
      </c>
      <c r="B103" t="s">
        <v>132</v>
      </c>
      <c r="C103" t="str">
        <f t="shared" si="6"/>
        <v>16/01/01</v>
      </c>
      <c r="D103" t="str">
        <f>"HAMILTON"</f>
        <v>HAMILTON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17.88</v>
      </c>
      <c r="N103">
        <v>19.95</v>
      </c>
      <c r="O103">
        <v>232.45</v>
      </c>
    </row>
    <row r="104" spans="1:15" ht="15">
      <c r="A104" t="str">
        <f>"0281324321"</f>
        <v>0281324321</v>
      </c>
      <c r="B104" t="s">
        <v>138</v>
      </c>
      <c r="C104" t="str">
        <f t="shared" si="6"/>
        <v>16/01/01</v>
      </c>
      <c r="D104" t="str">
        <f>"HERKIMER"</f>
        <v>HERKIMER</v>
      </c>
      <c r="E104">
        <v>24.28</v>
      </c>
      <c r="F104">
        <v>24.59</v>
      </c>
      <c r="G104">
        <v>0</v>
      </c>
      <c r="H104">
        <v>0</v>
      </c>
      <c r="I104">
        <v>0</v>
      </c>
      <c r="J104">
        <v>0</v>
      </c>
      <c r="K104">
        <v>81.53</v>
      </c>
      <c r="L104">
        <v>81.53</v>
      </c>
      <c r="M104">
        <v>0</v>
      </c>
      <c r="N104">
        <v>0</v>
      </c>
      <c r="O104">
        <v>0</v>
      </c>
    </row>
    <row r="105" spans="1:15" ht="15">
      <c r="A105" t="str">
        <f>"0097412121"</f>
        <v>0097412121</v>
      </c>
      <c r="B105" t="s">
        <v>46</v>
      </c>
      <c r="C105" t="str">
        <f t="shared" si="6"/>
        <v>16/01/01</v>
      </c>
      <c r="D105" t="str">
        <f>"HERKIMER"</f>
        <v>HERKIMER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14.62</v>
      </c>
      <c r="N105">
        <v>15.5</v>
      </c>
      <c r="O105">
        <v>0</v>
      </c>
    </row>
    <row r="106" spans="1:15" ht="15">
      <c r="A106" t="str">
        <f>"0121121021"</f>
        <v>0121121021</v>
      </c>
      <c r="B106" t="s">
        <v>66</v>
      </c>
      <c r="C106" t="str">
        <f t="shared" si="6"/>
        <v>16/01/01</v>
      </c>
      <c r="D106" t="str">
        <f>"HERKIMER"</f>
        <v>HERKIMER</v>
      </c>
      <c r="E106">
        <v>0</v>
      </c>
      <c r="F106">
        <v>20.83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80.2</v>
      </c>
      <c r="M106">
        <v>0</v>
      </c>
      <c r="N106">
        <v>0</v>
      </c>
      <c r="O106">
        <v>0</v>
      </c>
    </row>
    <row r="107" spans="1:15" ht="15">
      <c r="A107" t="str">
        <f>"0147051122"</f>
        <v>0147051122</v>
      </c>
      <c r="B107" t="s">
        <v>78</v>
      </c>
      <c r="C107" t="str">
        <f t="shared" si="6"/>
        <v>16/01/01</v>
      </c>
      <c r="D107" t="str">
        <f aca="true" t="shared" si="8" ref="D107:D112">"JEFFERSON"</f>
        <v>JEFFERSON</v>
      </c>
      <c r="E107">
        <v>24.96</v>
      </c>
      <c r="F107">
        <v>25.6</v>
      </c>
      <c r="G107">
        <v>29.83</v>
      </c>
      <c r="H107">
        <v>0</v>
      </c>
      <c r="I107">
        <v>29.61</v>
      </c>
      <c r="J107">
        <v>29.44</v>
      </c>
      <c r="K107">
        <v>129.67</v>
      </c>
      <c r="L107">
        <v>125.17</v>
      </c>
      <c r="M107">
        <v>0</v>
      </c>
      <c r="N107">
        <v>0</v>
      </c>
      <c r="O107">
        <v>0</v>
      </c>
    </row>
    <row r="108" spans="1:15" ht="15">
      <c r="A108" t="str">
        <f>"0080671722"</f>
        <v>0080671722</v>
      </c>
      <c r="B108" t="s">
        <v>24</v>
      </c>
      <c r="C108" t="str">
        <f t="shared" si="6"/>
        <v>16/01/01</v>
      </c>
      <c r="D108" t="str">
        <f t="shared" si="8"/>
        <v>JEFFERSON</v>
      </c>
      <c r="E108">
        <v>19.95</v>
      </c>
      <c r="F108">
        <v>20.25</v>
      </c>
      <c r="G108">
        <v>0</v>
      </c>
      <c r="H108">
        <v>0</v>
      </c>
      <c r="I108">
        <v>0</v>
      </c>
      <c r="J108">
        <v>0</v>
      </c>
      <c r="K108">
        <v>89.37</v>
      </c>
      <c r="L108">
        <v>0</v>
      </c>
      <c r="M108">
        <v>0</v>
      </c>
      <c r="N108">
        <v>0</v>
      </c>
      <c r="O108">
        <v>0</v>
      </c>
    </row>
    <row r="109" spans="1:15" ht="15">
      <c r="A109" t="str">
        <f>"0097412122"</f>
        <v>0097412122</v>
      </c>
      <c r="B109" t="s">
        <v>47</v>
      </c>
      <c r="C109" t="str">
        <f t="shared" si="6"/>
        <v>16/01/01</v>
      </c>
      <c r="D109" t="str">
        <f t="shared" si="8"/>
        <v>JEFFERSON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13.95</v>
      </c>
      <c r="N109">
        <v>15.01</v>
      </c>
      <c r="O109">
        <v>0</v>
      </c>
    </row>
    <row r="110" spans="1:15" ht="15">
      <c r="A110" t="str">
        <f>"0105243722"</f>
        <v>0105243722</v>
      </c>
      <c r="B110" t="s">
        <v>55</v>
      </c>
      <c r="C110" t="str">
        <f t="shared" si="6"/>
        <v>16/01/01</v>
      </c>
      <c r="D110" t="str">
        <f t="shared" si="8"/>
        <v>JEFFERSON</v>
      </c>
      <c r="E110">
        <v>26.54</v>
      </c>
      <c r="F110">
        <v>27.07</v>
      </c>
      <c r="G110">
        <v>29.2</v>
      </c>
      <c r="H110">
        <v>292.7</v>
      </c>
      <c r="I110">
        <v>28.98</v>
      </c>
      <c r="J110">
        <v>29.06</v>
      </c>
      <c r="K110">
        <v>169.08</v>
      </c>
      <c r="L110">
        <v>0</v>
      </c>
      <c r="M110">
        <v>26.81</v>
      </c>
      <c r="N110">
        <v>29.06</v>
      </c>
      <c r="O110">
        <v>335.23</v>
      </c>
    </row>
    <row r="111" spans="1:15" ht="15">
      <c r="A111" t="str">
        <f>"0106073722"</f>
        <v>0106073722</v>
      </c>
      <c r="B111" t="s">
        <v>56</v>
      </c>
      <c r="C111" t="str">
        <f t="shared" si="6"/>
        <v>16/01/01</v>
      </c>
      <c r="D111" t="str">
        <f t="shared" si="8"/>
        <v>JEFFERSON</v>
      </c>
      <c r="E111">
        <v>19.2</v>
      </c>
      <c r="F111">
        <v>19.22</v>
      </c>
      <c r="G111">
        <v>0</v>
      </c>
      <c r="H111">
        <v>0</v>
      </c>
      <c r="I111">
        <v>0</v>
      </c>
      <c r="J111">
        <v>0</v>
      </c>
      <c r="K111">
        <v>76.09</v>
      </c>
      <c r="L111">
        <v>84.56</v>
      </c>
      <c r="M111">
        <v>0</v>
      </c>
      <c r="N111">
        <v>0</v>
      </c>
      <c r="O111">
        <v>0</v>
      </c>
    </row>
    <row r="112" spans="1:15" ht="15">
      <c r="A112" t="str">
        <f>"0174106022"</f>
        <v>0174106022</v>
      </c>
      <c r="B112" t="s">
        <v>100</v>
      </c>
      <c r="C112" t="str">
        <f t="shared" si="6"/>
        <v>16/01/01</v>
      </c>
      <c r="D112" t="str">
        <f t="shared" si="8"/>
        <v>JEFFERSON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14.95</v>
      </c>
      <c r="N112">
        <v>0</v>
      </c>
      <c r="O112">
        <v>0</v>
      </c>
    </row>
    <row r="113" spans="1:15" ht="15">
      <c r="A113" t="str">
        <f>"0257536824"</f>
        <v>0257536824</v>
      </c>
      <c r="B113" t="s">
        <v>135</v>
      </c>
      <c r="C113" t="str">
        <f t="shared" si="6"/>
        <v>16/01/01</v>
      </c>
      <c r="D113" t="str">
        <f>"LEWIS"</f>
        <v>LEWIS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16.86</v>
      </c>
      <c r="N113">
        <v>16.85</v>
      </c>
      <c r="O113">
        <v>0</v>
      </c>
    </row>
    <row r="114" spans="1:15" ht="15">
      <c r="A114" t="str">
        <f>"0097412124"</f>
        <v>0097412124</v>
      </c>
      <c r="B114" t="s">
        <v>46</v>
      </c>
      <c r="C114" t="str">
        <f t="shared" si="6"/>
        <v>16/01/01</v>
      </c>
      <c r="D114" t="str">
        <f>"LEWIS"</f>
        <v>LEWIS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13.95</v>
      </c>
      <c r="N114">
        <v>16.02</v>
      </c>
      <c r="O114">
        <v>0</v>
      </c>
    </row>
    <row r="115" spans="1:15" ht="15">
      <c r="A115" t="str">
        <f>"0106073724"</f>
        <v>0106073724</v>
      </c>
      <c r="B115" t="s">
        <v>56</v>
      </c>
      <c r="C115" t="str">
        <f t="shared" si="6"/>
        <v>16/01/01</v>
      </c>
      <c r="D115" t="str">
        <f>"LEWIS"</f>
        <v>LEWIS</v>
      </c>
      <c r="E115">
        <v>21.56</v>
      </c>
      <c r="F115">
        <v>21.56</v>
      </c>
      <c r="G115">
        <v>0</v>
      </c>
      <c r="H115">
        <v>0</v>
      </c>
      <c r="I115">
        <v>0</v>
      </c>
      <c r="J115">
        <v>0</v>
      </c>
      <c r="K115">
        <v>80.36</v>
      </c>
      <c r="L115">
        <v>84.55</v>
      </c>
      <c r="M115">
        <v>0</v>
      </c>
      <c r="N115">
        <v>0</v>
      </c>
      <c r="O115">
        <v>0</v>
      </c>
    </row>
    <row r="116" spans="1:15" ht="15">
      <c r="A116" t="str">
        <f>"0194568825"</f>
        <v>0194568825</v>
      </c>
      <c r="B116" t="s">
        <v>114</v>
      </c>
      <c r="C116" t="str">
        <f t="shared" si="6"/>
        <v>16/01/01</v>
      </c>
      <c r="D116" t="str">
        <f>"LIVINGSTON"</f>
        <v>LIVINGSTON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16.56</v>
      </c>
      <c r="N116">
        <v>19.66</v>
      </c>
      <c r="O116">
        <v>0</v>
      </c>
    </row>
    <row r="117" spans="1:15" ht="15">
      <c r="A117" t="str">
        <f>"0147051125"</f>
        <v>0147051125</v>
      </c>
      <c r="B117" t="s">
        <v>79</v>
      </c>
      <c r="C117" t="str">
        <f t="shared" si="6"/>
        <v>16/01/01</v>
      </c>
      <c r="D117" t="str">
        <f>"LIVINGSTON"</f>
        <v>LIVINGSTON</v>
      </c>
      <c r="E117">
        <v>24.36</v>
      </c>
      <c r="F117">
        <v>25.87</v>
      </c>
      <c r="G117">
        <v>28.46</v>
      </c>
      <c r="H117">
        <v>0</v>
      </c>
      <c r="I117">
        <v>28.24</v>
      </c>
      <c r="J117">
        <v>27.44</v>
      </c>
      <c r="K117">
        <v>129.6</v>
      </c>
      <c r="L117">
        <v>129.61</v>
      </c>
      <c r="M117">
        <v>0</v>
      </c>
      <c r="N117">
        <v>0</v>
      </c>
      <c r="O117">
        <v>0</v>
      </c>
    </row>
    <row r="118" spans="1:15" ht="15">
      <c r="A118" t="str">
        <f>"0035491225"</f>
        <v>0035491225</v>
      </c>
      <c r="B118" t="s">
        <v>7</v>
      </c>
      <c r="C118" t="str">
        <f t="shared" si="6"/>
        <v>16/01/01</v>
      </c>
      <c r="D118" t="str">
        <f>"LIVINGSTON"</f>
        <v>LIVINGSTON</v>
      </c>
      <c r="E118">
        <v>24.32</v>
      </c>
      <c r="F118">
        <v>24.44</v>
      </c>
      <c r="G118">
        <v>29.6</v>
      </c>
      <c r="H118">
        <v>293.49</v>
      </c>
      <c r="I118">
        <v>27.82</v>
      </c>
      <c r="J118">
        <v>27.02</v>
      </c>
      <c r="K118">
        <v>108.71</v>
      </c>
      <c r="L118">
        <v>164.62</v>
      </c>
      <c r="M118">
        <v>23.69</v>
      </c>
      <c r="N118">
        <v>26.12</v>
      </c>
      <c r="O118">
        <v>294.83</v>
      </c>
    </row>
    <row r="119" spans="1:15" ht="15">
      <c r="A119" t="str">
        <f>"0058802326"</f>
        <v>0058802326</v>
      </c>
      <c r="B119" t="s">
        <v>18</v>
      </c>
      <c r="C119" t="str">
        <f t="shared" si="6"/>
        <v>16/01/01</v>
      </c>
      <c r="D119" t="str">
        <f>"MADISON"</f>
        <v>MADISON</v>
      </c>
      <c r="E119">
        <v>24.07</v>
      </c>
      <c r="F119">
        <v>24.1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  <row r="120" spans="1:15" ht="15">
      <c r="A120" t="str">
        <f>"0097412126"</f>
        <v>0097412126</v>
      </c>
      <c r="B120" t="s">
        <v>46</v>
      </c>
      <c r="C120" t="str">
        <f t="shared" si="6"/>
        <v>16/01/01</v>
      </c>
      <c r="D120" t="str">
        <f>"MADISON"</f>
        <v>MADISON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13.32</v>
      </c>
      <c r="N120">
        <v>15.27</v>
      </c>
      <c r="O120">
        <v>0</v>
      </c>
    </row>
    <row r="121" spans="1:15" ht="15">
      <c r="A121" t="str">
        <f>"0302858027"</f>
        <v>0302858027</v>
      </c>
      <c r="B121" t="s">
        <v>146</v>
      </c>
      <c r="C121" t="str">
        <f t="shared" si="6"/>
        <v>16/01/01</v>
      </c>
      <c r="D121" t="str">
        <f aca="true" t="shared" si="9" ref="D121:D133">"MONROE"</f>
        <v>MONROE</v>
      </c>
      <c r="E121">
        <v>22.66</v>
      </c>
      <c r="F121">
        <v>23.45</v>
      </c>
      <c r="G121">
        <v>0</v>
      </c>
      <c r="H121">
        <v>0</v>
      </c>
      <c r="I121">
        <v>0</v>
      </c>
      <c r="J121">
        <v>0</v>
      </c>
      <c r="K121">
        <v>139.92</v>
      </c>
      <c r="L121">
        <v>139.97</v>
      </c>
      <c r="M121">
        <v>0</v>
      </c>
      <c r="N121">
        <v>0</v>
      </c>
      <c r="O121">
        <v>0</v>
      </c>
    </row>
    <row r="122" spans="1:15" ht="15">
      <c r="A122" t="str">
        <f>"0084696027"</f>
        <v>0084696027</v>
      </c>
      <c r="B122" t="s">
        <v>29</v>
      </c>
      <c r="C122" t="str">
        <f t="shared" si="6"/>
        <v>16/01/01</v>
      </c>
      <c r="D122" t="str">
        <f t="shared" si="9"/>
        <v>MONROE</v>
      </c>
      <c r="E122">
        <v>13.98</v>
      </c>
      <c r="F122">
        <v>14.04</v>
      </c>
      <c r="G122">
        <v>32.07</v>
      </c>
      <c r="H122">
        <v>266.32</v>
      </c>
      <c r="I122">
        <v>16.67</v>
      </c>
      <c r="J122">
        <v>24.22</v>
      </c>
      <c r="K122">
        <v>0</v>
      </c>
      <c r="L122">
        <v>0</v>
      </c>
      <c r="M122">
        <v>16.14</v>
      </c>
      <c r="N122">
        <v>24.27</v>
      </c>
      <c r="O122">
        <v>216.99</v>
      </c>
    </row>
    <row r="123" spans="1:15" ht="15">
      <c r="A123" t="str">
        <f>"0194568827"</f>
        <v>0194568827</v>
      </c>
      <c r="B123" t="s">
        <v>114</v>
      </c>
      <c r="C123" t="str">
        <f t="shared" si="6"/>
        <v>16/01/01</v>
      </c>
      <c r="D123" t="str">
        <f t="shared" si="9"/>
        <v>MONROE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16.98</v>
      </c>
      <c r="N123">
        <v>19</v>
      </c>
      <c r="O123">
        <v>0</v>
      </c>
    </row>
    <row r="124" spans="1:15" ht="15">
      <c r="A124" t="str">
        <f>"0307657927"</f>
        <v>0307657927</v>
      </c>
      <c r="B124" t="s">
        <v>148</v>
      </c>
      <c r="C124" t="str">
        <f t="shared" si="6"/>
        <v>16/01/01</v>
      </c>
      <c r="D124" t="str">
        <f t="shared" si="9"/>
        <v>MONROE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22.2</v>
      </c>
      <c r="N124">
        <v>23.63</v>
      </c>
      <c r="O124">
        <v>0</v>
      </c>
    </row>
    <row r="125" spans="1:15" ht="15">
      <c r="A125" t="str">
        <f>"0147051127"</f>
        <v>0147051127</v>
      </c>
      <c r="B125" t="s">
        <v>79</v>
      </c>
      <c r="C125" t="str">
        <f t="shared" si="6"/>
        <v>16/01/01</v>
      </c>
      <c r="D125" t="str">
        <f t="shared" si="9"/>
        <v>MONROE</v>
      </c>
      <c r="E125">
        <v>23.27</v>
      </c>
      <c r="F125">
        <v>25.31</v>
      </c>
      <c r="G125">
        <v>27.58</v>
      </c>
      <c r="H125">
        <v>0</v>
      </c>
      <c r="I125">
        <v>25.95</v>
      </c>
      <c r="J125">
        <v>26.81</v>
      </c>
      <c r="K125">
        <v>124.25</v>
      </c>
      <c r="L125">
        <v>124.25</v>
      </c>
      <c r="M125">
        <v>0</v>
      </c>
      <c r="N125">
        <v>0</v>
      </c>
      <c r="O125">
        <v>0</v>
      </c>
    </row>
    <row r="126" spans="1:15" ht="15">
      <c r="A126" t="str">
        <f>"0416090927"</f>
        <v>0416090927</v>
      </c>
      <c r="B126" t="s">
        <v>165</v>
      </c>
      <c r="C126" t="str">
        <f t="shared" si="6"/>
        <v>16/01/01</v>
      </c>
      <c r="D126" t="str">
        <f t="shared" si="9"/>
        <v>MONROE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158.29</v>
      </c>
      <c r="L126">
        <v>158.29</v>
      </c>
      <c r="M126">
        <v>27.78</v>
      </c>
      <c r="N126">
        <v>29.16</v>
      </c>
      <c r="O126">
        <v>371.82</v>
      </c>
    </row>
    <row r="127" spans="1:15" ht="15">
      <c r="A127" t="str">
        <f>"0048715027"</f>
        <v>0048715027</v>
      </c>
      <c r="B127" t="s">
        <v>11</v>
      </c>
      <c r="C127" t="str">
        <f t="shared" si="6"/>
        <v>16/01/01</v>
      </c>
      <c r="D127" t="str">
        <f t="shared" si="9"/>
        <v>MONROE</v>
      </c>
      <c r="E127">
        <v>0</v>
      </c>
      <c r="F127">
        <v>25.42</v>
      </c>
      <c r="G127">
        <v>0</v>
      </c>
      <c r="H127">
        <v>0</v>
      </c>
      <c r="I127">
        <v>0</v>
      </c>
      <c r="J127">
        <v>0</v>
      </c>
      <c r="K127">
        <v>84.35</v>
      </c>
      <c r="L127">
        <v>0</v>
      </c>
      <c r="M127">
        <v>0</v>
      </c>
      <c r="N127">
        <v>0</v>
      </c>
      <c r="O127">
        <v>0</v>
      </c>
    </row>
    <row r="128" spans="1:15" ht="15">
      <c r="A128" t="str">
        <f>"0417491627"</f>
        <v>0417491627</v>
      </c>
      <c r="B128" t="s">
        <v>167</v>
      </c>
      <c r="C128" t="str">
        <f t="shared" si="6"/>
        <v>16/01/01</v>
      </c>
      <c r="D128" t="str">
        <f t="shared" si="9"/>
        <v>MONROE</v>
      </c>
      <c r="E128">
        <v>25</v>
      </c>
      <c r="F128">
        <v>25.91</v>
      </c>
      <c r="G128">
        <v>26.78</v>
      </c>
      <c r="H128">
        <v>37.03</v>
      </c>
      <c r="I128">
        <v>25.14</v>
      </c>
      <c r="J128">
        <v>26.02</v>
      </c>
      <c r="K128">
        <v>89.91</v>
      </c>
      <c r="L128">
        <v>89.91</v>
      </c>
      <c r="M128">
        <v>25.04</v>
      </c>
      <c r="N128">
        <v>26.65</v>
      </c>
      <c r="O128">
        <v>36.23</v>
      </c>
    </row>
    <row r="129" spans="1:15" ht="15">
      <c r="A129" t="str">
        <f>"0231917527"</f>
        <v>0231917527</v>
      </c>
      <c r="B129" t="s">
        <v>126</v>
      </c>
      <c r="C129" t="str">
        <f t="shared" si="6"/>
        <v>16/01/01</v>
      </c>
      <c r="D129" t="str">
        <f t="shared" si="9"/>
        <v>MONROE</v>
      </c>
      <c r="E129">
        <v>14.44</v>
      </c>
      <c r="F129">
        <v>15.94</v>
      </c>
      <c r="G129">
        <v>0</v>
      </c>
      <c r="H129">
        <v>174.19</v>
      </c>
      <c r="I129">
        <v>0</v>
      </c>
      <c r="J129">
        <v>0</v>
      </c>
      <c r="K129">
        <v>70.4</v>
      </c>
      <c r="L129">
        <v>0</v>
      </c>
      <c r="M129">
        <v>15.94</v>
      </c>
      <c r="N129">
        <v>17.41</v>
      </c>
      <c r="O129">
        <v>174.19</v>
      </c>
    </row>
    <row r="130" spans="1:15" ht="15">
      <c r="A130" t="str">
        <f>"0301683727"</f>
        <v>0301683727</v>
      </c>
      <c r="B130" t="s">
        <v>145</v>
      </c>
      <c r="C130" t="str">
        <f t="shared" si="6"/>
        <v>16/01/01</v>
      </c>
      <c r="D130" t="str">
        <f t="shared" si="9"/>
        <v>MONROE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114.23</v>
      </c>
      <c r="L130">
        <v>0</v>
      </c>
      <c r="M130">
        <v>16.32</v>
      </c>
      <c r="N130">
        <v>21.91</v>
      </c>
      <c r="O130">
        <v>263.53</v>
      </c>
    </row>
    <row r="131" spans="1:15" ht="15">
      <c r="A131" t="str">
        <f>"0293869027"</f>
        <v>0293869027</v>
      </c>
      <c r="B131" t="s">
        <v>139</v>
      </c>
      <c r="C131" t="str">
        <f t="shared" si="6"/>
        <v>16/01/01</v>
      </c>
      <c r="D131" t="str">
        <f t="shared" si="9"/>
        <v>MONROE</v>
      </c>
      <c r="E131">
        <v>19.02</v>
      </c>
      <c r="F131">
        <v>19.81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93.03</v>
      </c>
      <c r="M131">
        <v>0</v>
      </c>
      <c r="N131">
        <v>0</v>
      </c>
      <c r="O131">
        <v>0</v>
      </c>
    </row>
    <row r="132" spans="1:15" ht="15">
      <c r="A132" t="str">
        <f>"0035491227"</f>
        <v>0035491227</v>
      </c>
      <c r="B132" t="s">
        <v>7</v>
      </c>
      <c r="C132" t="str">
        <f t="shared" si="6"/>
        <v>16/01/01</v>
      </c>
      <c r="D132" t="str">
        <f t="shared" si="9"/>
        <v>MONROE</v>
      </c>
      <c r="E132">
        <v>24.45</v>
      </c>
      <c r="F132">
        <v>27.19</v>
      </c>
      <c r="G132">
        <v>28.49</v>
      </c>
      <c r="H132">
        <v>304.36</v>
      </c>
      <c r="I132">
        <v>25.25</v>
      </c>
      <c r="J132">
        <v>26.12</v>
      </c>
      <c r="K132">
        <v>157.77</v>
      </c>
      <c r="L132">
        <v>157.77</v>
      </c>
      <c r="M132">
        <v>23.53</v>
      </c>
      <c r="N132">
        <v>25.96</v>
      </c>
      <c r="O132">
        <v>293.16</v>
      </c>
    </row>
    <row r="133" spans="1:15" ht="15">
      <c r="A133" t="str">
        <f>"0035584427"</f>
        <v>0035584427</v>
      </c>
      <c r="B133" t="s">
        <v>8</v>
      </c>
      <c r="C133" t="str">
        <f t="shared" si="6"/>
        <v>16/01/01</v>
      </c>
      <c r="D133" t="str">
        <f t="shared" si="9"/>
        <v>MONROE</v>
      </c>
      <c r="E133">
        <v>0</v>
      </c>
      <c r="F133">
        <v>22.57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</row>
    <row r="134" spans="1:15" ht="15">
      <c r="A134" t="str">
        <f>"0352135928"</f>
        <v>0352135928</v>
      </c>
      <c r="B134" t="s">
        <v>156</v>
      </c>
      <c r="C134" t="str">
        <f t="shared" si="6"/>
        <v>16/01/01</v>
      </c>
      <c r="D134" t="str">
        <f>"MONTGOMERY"</f>
        <v>MONTGOMERY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18.4</v>
      </c>
      <c r="N134">
        <v>0</v>
      </c>
      <c r="O134">
        <v>0</v>
      </c>
    </row>
    <row r="135" spans="1:15" ht="15">
      <c r="A135" t="str">
        <f>"0097412128"</f>
        <v>0097412128</v>
      </c>
      <c r="B135" t="s">
        <v>46</v>
      </c>
      <c r="C135" t="str">
        <f aca="true" t="shared" si="10" ref="C135:C198">"16/01/01"</f>
        <v>16/01/01</v>
      </c>
      <c r="D135" t="str">
        <f>"MONTGOMERY"</f>
        <v>MONTGOMERY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14.42</v>
      </c>
      <c r="N135">
        <v>0</v>
      </c>
      <c r="O135">
        <v>0</v>
      </c>
    </row>
    <row r="136" spans="1:15" ht="15">
      <c r="A136" t="str">
        <f>"0121121028"</f>
        <v>0121121028</v>
      </c>
      <c r="B136" t="s">
        <v>66</v>
      </c>
      <c r="C136" t="str">
        <f t="shared" si="10"/>
        <v>16/01/01</v>
      </c>
      <c r="D136" t="str">
        <f>"MONTGOMERY"</f>
        <v>MONTGOMERY</v>
      </c>
      <c r="E136">
        <v>0</v>
      </c>
      <c r="F136">
        <v>21.44</v>
      </c>
      <c r="G136">
        <v>0</v>
      </c>
      <c r="H136">
        <v>0</v>
      </c>
      <c r="I136">
        <v>0</v>
      </c>
      <c r="J136">
        <v>0</v>
      </c>
      <c r="K136">
        <v>82.11</v>
      </c>
      <c r="L136">
        <v>0</v>
      </c>
      <c r="M136">
        <v>18.08</v>
      </c>
      <c r="N136">
        <v>0</v>
      </c>
      <c r="O136">
        <v>0</v>
      </c>
    </row>
    <row r="137" spans="1:15" ht="15">
      <c r="A137" t="str">
        <f>"0349929028"</f>
        <v>0349929028</v>
      </c>
      <c r="B137" t="s">
        <v>155</v>
      </c>
      <c r="C137" t="str">
        <f t="shared" si="10"/>
        <v>16/01/01</v>
      </c>
      <c r="D137" t="str">
        <f>"MONTGOMERY"</f>
        <v>MONTGOMERY</v>
      </c>
      <c r="E137">
        <v>22.96</v>
      </c>
      <c r="F137">
        <v>22.21</v>
      </c>
      <c r="G137">
        <v>0</v>
      </c>
      <c r="H137">
        <v>0</v>
      </c>
      <c r="I137">
        <v>0</v>
      </c>
      <c r="J137">
        <v>0</v>
      </c>
      <c r="K137">
        <v>32.29</v>
      </c>
      <c r="L137">
        <v>28.72</v>
      </c>
      <c r="M137">
        <v>0</v>
      </c>
      <c r="N137">
        <v>0</v>
      </c>
      <c r="O137">
        <v>0</v>
      </c>
    </row>
    <row r="138" spans="1:15" ht="15">
      <c r="A138" t="str">
        <f>"0170109128"</f>
        <v>0170109128</v>
      </c>
      <c r="B138" t="s">
        <v>91</v>
      </c>
      <c r="C138" t="str">
        <f t="shared" si="10"/>
        <v>16/01/01</v>
      </c>
      <c r="D138" t="str">
        <f>"MONTGOMERY"</f>
        <v>MONTGOMERY</v>
      </c>
      <c r="E138">
        <v>21.73</v>
      </c>
      <c r="F138">
        <v>21.76</v>
      </c>
      <c r="G138">
        <v>22.42</v>
      </c>
      <c r="H138">
        <v>369.04</v>
      </c>
      <c r="I138">
        <v>22.42</v>
      </c>
      <c r="J138">
        <v>22.42</v>
      </c>
      <c r="K138">
        <v>85.09</v>
      </c>
      <c r="L138">
        <v>85.09</v>
      </c>
      <c r="M138">
        <v>18.53</v>
      </c>
      <c r="N138">
        <v>20.06</v>
      </c>
      <c r="O138">
        <v>295.25</v>
      </c>
    </row>
    <row r="139" spans="1:15" ht="15">
      <c r="A139" t="str">
        <f>"0035467829"</f>
        <v>0035467829</v>
      </c>
      <c r="B139" t="s">
        <v>4</v>
      </c>
      <c r="C139" t="str">
        <f t="shared" si="10"/>
        <v>16/01/01</v>
      </c>
      <c r="D139" t="str">
        <f aca="true" t="shared" si="11" ref="D139:D165">"NASSAU"</f>
        <v>NASSAU</v>
      </c>
      <c r="E139">
        <v>0</v>
      </c>
      <c r="F139">
        <v>22.95</v>
      </c>
      <c r="G139">
        <v>32.74</v>
      </c>
      <c r="H139">
        <v>284.05</v>
      </c>
      <c r="I139">
        <v>32.74</v>
      </c>
      <c r="J139">
        <v>0</v>
      </c>
      <c r="K139">
        <v>99.03</v>
      </c>
      <c r="L139">
        <v>0</v>
      </c>
      <c r="M139">
        <v>24.95</v>
      </c>
      <c r="N139">
        <v>25.51</v>
      </c>
      <c r="O139">
        <v>254.01</v>
      </c>
    </row>
    <row r="140" spans="1:15" ht="15">
      <c r="A140" t="str">
        <f>"0035466929"</f>
        <v>0035466929</v>
      </c>
      <c r="B140" t="s">
        <v>3</v>
      </c>
      <c r="C140" t="str">
        <f t="shared" si="10"/>
        <v>16/01/01</v>
      </c>
      <c r="D140" t="str">
        <f t="shared" si="11"/>
        <v>NASSAU</v>
      </c>
      <c r="E140">
        <v>27.91</v>
      </c>
      <c r="F140">
        <v>25.7</v>
      </c>
      <c r="G140">
        <v>36.27</v>
      </c>
      <c r="H140">
        <v>339.14</v>
      </c>
      <c r="I140">
        <v>26.98</v>
      </c>
      <c r="J140">
        <v>29.06</v>
      </c>
      <c r="K140">
        <v>147.03</v>
      </c>
      <c r="L140">
        <v>112.7</v>
      </c>
      <c r="M140">
        <v>25.72</v>
      </c>
      <c r="N140">
        <v>26.85</v>
      </c>
      <c r="O140">
        <v>329.19</v>
      </c>
    </row>
    <row r="141" spans="1:15" ht="15">
      <c r="A141" t="str">
        <f>"0084696029"</f>
        <v>0084696029</v>
      </c>
      <c r="B141" t="s">
        <v>29</v>
      </c>
      <c r="C141" t="str">
        <f t="shared" si="10"/>
        <v>16/01/01</v>
      </c>
      <c r="D141" t="str">
        <f t="shared" si="11"/>
        <v>NASSAU</v>
      </c>
      <c r="E141">
        <v>18.36</v>
      </c>
      <c r="F141">
        <v>18.64</v>
      </c>
      <c r="G141">
        <v>30.44</v>
      </c>
      <c r="H141">
        <v>219.32</v>
      </c>
      <c r="I141">
        <v>20.17</v>
      </c>
      <c r="J141">
        <v>22.32</v>
      </c>
      <c r="K141">
        <v>100.86</v>
      </c>
      <c r="L141">
        <v>0</v>
      </c>
      <c r="M141">
        <v>19.14</v>
      </c>
      <c r="N141">
        <v>25.51</v>
      </c>
      <c r="O141">
        <v>246.24</v>
      </c>
    </row>
    <row r="142" spans="1:15" ht="15">
      <c r="A142" t="str">
        <f>"0085078429"</f>
        <v>0085078429</v>
      </c>
      <c r="B142" t="s">
        <v>30</v>
      </c>
      <c r="C142" t="str">
        <f t="shared" si="10"/>
        <v>16/01/01</v>
      </c>
      <c r="D142" t="str">
        <f t="shared" si="11"/>
        <v>NASSAU</v>
      </c>
      <c r="E142">
        <v>21.86</v>
      </c>
      <c r="F142">
        <v>20.87</v>
      </c>
      <c r="G142">
        <v>24.16</v>
      </c>
      <c r="H142">
        <v>262.89</v>
      </c>
      <c r="I142">
        <v>21.86</v>
      </c>
      <c r="J142">
        <v>23.85</v>
      </c>
      <c r="K142">
        <v>146.61</v>
      </c>
      <c r="L142">
        <v>108.42</v>
      </c>
      <c r="M142">
        <v>23.21</v>
      </c>
      <c r="N142">
        <v>24.29</v>
      </c>
      <c r="O142">
        <v>285.78</v>
      </c>
    </row>
    <row r="143" spans="1:15" ht="15">
      <c r="A143" t="str">
        <f>"0078841829"</f>
        <v>0078841829</v>
      </c>
      <c r="B143" t="s">
        <v>23</v>
      </c>
      <c r="C143" t="str">
        <f t="shared" si="10"/>
        <v>16/01/01</v>
      </c>
      <c r="D143" t="str">
        <f t="shared" si="11"/>
        <v>NASSAU</v>
      </c>
      <c r="E143">
        <v>20.41</v>
      </c>
      <c r="F143">
        <v>18.47</v>
      </c>
      <c r="G143">
        <v>25.99</v>
      </c>
      <c r="H143">
        <v>242.87</v>
      </c>
      <c r="I143">
        <v>25.11</v>
      </c>
      <c r="J143">
        <v>29.28</v>
      </c>
      <c r="K143">
        <v>105</v>
      </c>
      <c r="L143">
        <v>148.26</v>
      </c>
      <c r="M143">
        <v>23.27</v>
      </c>
      <c r="N143">
        <v>24.87</v>
      </c>
      <c r="O143">
        <v>249.17</v>
      </c>
    </row>
    <row r="144" spans="1:15" ht="15">
      <c r="A144" t="str">
        <f>"0124688629"</f>
        <v>0124688629</v>
      </c>
      <c r="B144" t="s">
        <v>67</v>
      </c>
      <c r="C144" t="str">
        <f t="shared" si="10"/>
        <v>16/01/01</v>
      </c>
      <c r="D144" t="str">
        <f t="shared" si="11"/>
        <v>NASSAU</v>
      </c>
      <c r="E144">
        <v>24.06</v>
      </c>
      <c r="F144">
        <v>24.01</v>
      </c>
      <c r="G144">
        <v>34.34</v>
      </c>
      <c r="H144">
        <v>298.01</v>
      </c>
      <c r="I144">
        <v>26.88</v>
      </c>
      <c r="J144">
        <v>28.96</v>
      </c>
      <c r="K144">
        <v>129.4</v>
      </c>
      <c r="L144">
        <v>171.89</v>
      </c>
      <c r="M144">
        <v>24.29</v>
      </c>
      <c r="N144">
        <v>25.46</v>
      </c>
      <c r="O144">
        <v>314.27</v>
      </c>
    </row>
    <row r="145" spans="1:15" ht="15">
      <c r="A145" t="str">
        <f>"0240779829"</f>
        <v>0240779829</v>
      </c>
      <c r="B145" t="s">
        <v>132</v>
      </c>
      <c r="C145" t="str">
        <f t="shared" si="10"/>
        <v>16/01/01</v>
      </c>
      <c r="D145" t="str">
        <f t="shared" si="11"/>
        <v>NASSAU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21.71</v>
      </c>
      <c r="N145">
        <v>21.81</v>
      </c>
      <c r="O145">
        <v>284</v>
      </c>
    </row>
    <row r="146" spans="1:15" ht="15">
      <c r="A146" t="str">
        <f>"0148777829"</f>
        <v>0148777829</v>
      </c>
      <c r="B146" t="s">
        <v>81</v>
      </c>
      <c r="C146" t="str">
        <f t="shared" si="10"/>
        <v>16/01/01</v>
      </c>
      <c r="D146" t="str">
        <f t="shared" si="11"/>
        <v>NASSAU</v>
      </c>
      <c r="E146">
        <v>23.25</v>
      </c>
      <c r="F146">
        <v>23.12</v>
      </c>
      <c r="G146">
        <v>26.98</v>
      </c>
      <c r="H146">
        <v>271.75</v>
      </c>
      <c r="I146">
        <v>29.07</v>
      </c>
      <c r="J146">
        <v>32.24</v>
      </c>
      <c r="K146">
        <v>108.75</v>
      </c>
      <c r="L146">
        <v>87.73</v>
      </c>
      <c r="M146">
        <v>25.5</v>
      </c>
      <c r="N146">
        <v>27.19</v>
      </c>
      <c r="O146">
        <v>331.49</v>
      </c>
    </row>
    <row r="147" spans="1:15" ht="15">
      <c r="A147" t="str">
        <f>"0035468729"</f>
        <v>0035468729</v>
      </c>
      <c r="B147" t="s">
        <v>5</v>
      </c>
      <c r="C147" t="str">
        <f t="shared" si="10"/>
        <v>16/01/01</v>
      </c>
      <c r="D147" t="str">
        <f t="shared" si="11"/>
        <v>NASSAU</v>
      </c>
      <c r="E147">
        <v>27.76</v>
      </c>
      <c r="F147">
        <v>28.04</v>
      </c>
      <c r="G147">
        <v>29.14</v>
      </c>
      <c r="H147">
        <v>325.01</v>
      </c>
      <c r="I147">
        <v>34.31</v>
      </c>
      <c r="J147">
        <v>31.59</v>
      </c>
      <c r="K147">
        <v>163.25</v>
      </c>
      <c r="L147">
        <v>133.42</v>
      </c>
      <c r="M147">
        <v>24.33</v>
      </c>
      <c r="N147">
        <v>25.17</v>
      </c>
      <c r="O147">
        <v>317.09</v>
      </c>
    </row>
    <row r="148" spans="1:15" ht="15">
      <c r="A148" t="str">
        <f>"0081865329"</f>
        <v>0081865329</v>
      </c>
      <c r="B148" t="s">
        <v>28</v>
      </c>
      <c r="C148" t="str">
        <f t="shared" si="10"/>
        <v>16/01/01</v>
      </c>
      <c r="D148" t="str">
        <f t="shared" si="11"/>
        <v>NASSAU</v>
      </c>
      <c r="E148">
        <v>20.21</v>
      </c>
      <c r="F148">
        <v>20.58</v>
      </c>
      <c r="G148">
        <v>27.2</v>
      </c>
      <c r="H148">
        <v>220.74</v>
      </c>
      <c r="I148">
        <v>21.74</v>
      </c>
      <c r="J148">
        <v>21.86</v>
      </c>
      <c r="K148">
        <v>94.95</v>
      </c>
      <c r="L148">
        <v>0</v>
      </c>
      <c r="M148">
        <v>22.49</v>
      </c>
      <c r="N148">
        <v>0</v>
      </c>
      <c r="O148">
        <v>239.76</v>
      </c>
    </row>
    <row r="149" spans="1:15" ht="15">
      <c r="A149" t="str">
        <f>"0150897429"</f>
        <v>0150897429</v>
      </c>
      <c r="B149" t="s">
        <v>83</v>
      </c>
      <c r="C149" t="str">
        <f t="shared" si="10"/>
        <v>16/01/01</v>
      </c>
      <c r="D149" t="str">
        <f t="shared" si="11"/>
        <v>NASSAU</v>
      </c>
      <c r="E149">
        <v>24.09</v>
      </c>
      <c r="F149">
        <v>22.65</v>
      </c>
      <c r="G149">
        <v>34.29</v>
      </c>
      <c r="H149">
        <v>289.01</v>
      </c>
      <c r="I149">
        <v>26.73</v>
      </c>
      <c r="J149">
        <v>28.81</v>
      </c>
      <c r="K149">
        <v>97.51</v>
      </c>
      <c r="L149">
        <v>97.5</v>
      </c>
      <c r="M149">
        <v>24.33</v>
      </c>
      <c r="N149">
        <v>25.5</v>
      </c>
      <c r="O149">
        <v>314.16</v>
      </c>
    </row>
    <row r="150" spans="1:15" ht="15">
      <c r="A150" t="str">
        <f>"0144435729"</f>
        <v>0144435729</v>
      </c>
      <c r="B150" t="s">
        <v>75</v>
      </c>
      <c r="C150" t="str">
        <f t="shared" si="10"/>
        <v>16/01/01</v>
      </c>
      <c r="D150" t="str">
        <f t="shared" si="11"/>
        <v>NASSAU</v>
      </c>
      <c r="E150">
        <v>23.52</v>
      </c>
      <c r="F150">
        <v>21.72</v>
      </c>
      <c r="G150">
        <v>24.44</v>
      </c>
      <c r="H150">
        <v>215.57</v>
      </c>
      <c r="I150">
        <v>22.21</v>
      </c>
      <c r="J150">
        <v>24.59</v>
      </c>
      <c r="K150">
        <v>90.51</v>
      </c>
      <c r="L150">
        <v>90.51</v>
      </c>
      <c r="M150">
        <v>23.91</v>
      </c>
      <c r="N150">
        <v>24.48</v>
      </c>
      <c r="O150">
        <v>283.09</v>
      </c>
    </row>
    <row r="151" spans="1:15" ht="15">
      <c r="A151" t="str">
        <f>"0179473829"</f>
        <v>0179473829</v>
      </c>
      <c r="B151" t="s">
        <v>108</v>
      </c>
      <c r="C151" t="str">
        <f t="shared" si="10"/>
        <v>16/01/01</v>
      </c>
      <c r="D151" t="str">
        <f t="shared" si="11"/>
        <v>NASSAU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20.08</v>
      </c>
      <c r="N151">
        <v>24.63</v>
      </c>
      <c r="O151">
        <v>261</v>
      </c>
    </row>
    <row r="152" spans="1:15" ht="15">
      <c r="A152" t="str">
        <f>"0136467629"</f>
        <v>0136467629</v>
      </c>
      <c r="B152" t="s">
        <v>74</v>
      </c>
      <c r="C152" t="str">
        <f t="shared" si="10"/>
        <v>16/01/01</v>
      </c>
      <c r="D152" t="str">
        <f t="shared" si="11"/>
        <v>NASSAU</v>
      </c>
      <c r="E152">
        <v>23.37</v>
      </c>
      <c r="F152">
        <v>21.34</v>
      </c>
      <c r="G152">
        <v>28.02</v>
      </c>
      <c r="H152">
        <v>250.01</v>
      </c>
      <c r="I152">
        <v>28.02</v>
      </c>
      <c r="J152">
        <v>28.02</v>
      </c>
      <c r="K152">
        <v>96.59</v>
      </c>
      <c r="L152">
        <v>0</v>
      </c>
      <c r="M152">
        <v>0</v>
      </c>
      <c r="N152">
        <v>0</v>
      </c>
      <c r="O152">
        <v>0</v>
      </c>
    </row>
    <row r="153" spans="1:15" ht="15">
      <c r="A153" t="str">
        <f>"0106927229"</f>
        <v>0106927229</v>
      </c>
      <c r="B153" t="s">
        <v>58</v>
      </c>
      <c r="C153" t="str">
        <f t="shared" si="10"/>
        <v>16/01/01</v>
      </c>
      <c r="D153" t="str">
        <f t="shared" si="11"/>
        <v>NASSAU</v>
      </c>
      <c r="E153">
        <v>22.64</v>
      </c>
      <c r="F153">
        <v>22.83</v>
      </c>
      <c r="G153">
        <v>0</v>
      </c>
      <c r="H153">
        <v>271.75</v>
      </c>
      <c r="I153">
        <v>23.91</v>
      </c>
      <c r="J153">
        <v>23.06</v>
      </c>
      <c r="K153">
        <v>96.73</v>
      </c>
      <c r="L153">
        <v>97.79</v>
      </c>
      <c r="M153">
        <v>21.71</v>
      </c>
      <c r="N153">
        <v>22.23</v>
      </c>
      <c r="O153">
        <v>0</v>
      </c>
    </row>
    <row r="154" spans="1:15" ht="15">
      <c r="A154" t="str">
        <f>"0150251029"</f>
        <v>0150251029</v>
      </c>
      <c r="B154" t="s">
        <v>82</v>
      </c>
      <c r="C154" t="str">
        <f t="shared" si="10"/>
        <v>16/01/01</v>
      </c>
      <c r="D154" t="str">
        <f t="shared" si="11"/>
        <v>NASSAU</v>
      </c>
      <c r="E154">
        <v>27.71</v>
      </c>
      <c r="F154">
        <v>32.11</v>
      </c>
      <c r="G154">
        <v>32.68</v>
      </c>
      <c r="H154">
        <v>279.34</v>
      </c>
      <c r="I154">
        <v>32.62</v>
      </c>
      <c r="J154">
        <v>29.69</v>
      </c>
      <c r="K154">
        <v>163.05</v>
      </c>
      <c r="L154">
        <v>0</v>
      </c>
      <c r="M154">
        <v>0</v>
      </c>
      <c r="N154">
        <v>0</v>
      </c>
      <c r="O154">
        <v>0</v>
      </c>
    </row>
    <row r="155" spans="1:15" ht="15">
      <c r="A155" t="str">
        <f>"0108728729"</f>
        <v>0108728729</v>
      </c>
      <c r="B155" t="s">
        <v>60</v>
      </c>
      <c r="C155" t="str">
        <f t="shared" si="10"/>
        <v>16/01/01</v>
      </c>
      <c r="D155" t="str">
        <f t="shared" si="11"/>
        <v>NASSAU</v>
      </c>
      <c r="E155">
        <v>19.52</v>
      </c>
      <c r="F155">
        <v>19.81</v>
      </c>
      <c r="G155">
        <v>25.49</v>
      </c>
      <c r="H155">
        <v>239.31</v>
      </c>
      <c r="I155">
        <v>26.82</v>
      </c>
      <c r="J155">
        <v>24.03</v>
      </c>
      <c r="K155">
        <v>98.42</v>
      </c>
      <c r="L155">
        <v>0</v>
      </c>
      <c r="M155">
        <v>0</v>
      </c>
      <c r="N155">
        <v>0</v>
      </c>
      <c r="O155">
        <v>0</v>
      </c>
    </row>
    <row r="156" spans="1:15" ht="15">
      <c r="A156" t="str">
        <f>"0042019529"</f>
        <v>0042019529</v>
      </c>
      <c r="B156" t="s">
        <v>10</v>
      </c>
      <c r="C156" t="str">
        <f t="shared" si="10"/>
        <v>16/01/01</v>
      </c>
      <c r="D156" t="str">
        <f t="shared" si="11"/>
        <v>NASSAU</v>
      </c>
      <c r="E156">
        <v>18.92</v>
      </c>
      <c r="F156">
        <v>19.21</v>
      </c>
      <c r="G156">
        <v>26.09</v>
      </c>
      <c r="H156">
        <v>200.93</v>
      </c>
      <c r="I156">
        <v>20.09</v>
      </c>
      <c r="J156">
        <v>19.13</v>
      </c>
      <c r="K156">
        <v>90.53</v>
      </c>
      <c r="L156">
        <v>90.53</v>
      </c>
      <c r="M156">
        <v>18.54</v>
      </c>
      <c r="N156">
        <v>20.58</v>
      </c>
      <c r="O156">
        <v>199.06</v>
      </c>
    </row>
    <row r="157" spans="1:15" ht="15">
      <c r="A157" t="str">
        <f>"0166341429"</f>
        <v>0166341429</v>
      </c>
      <c r="B157" t="s">
        <v>87</v>
      </c>
      <c r="C157" t="str">
        <f t="shared" si="10"/>
        <v>16/01/01</v>
      </c>
      <c r="D157" t="str">
        <f t="shared" si="11"/>
        <v>NASSAU</v>
      </c>
      <c r="E157">
        <v>25.26</v>
      </c>
      <c r="F157">
        <v>25.63</v>
      </c>
      <c r="G157">
        <v>0</v>
      </c>
      <c r="H157">
        <v>323.23</v>
      </c>
      <c r="I157">
        <v>19.81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</row>
    <row r="158" spans="1:15" ht="15">
      <c r="A158" t="str">
        <f>"0172952429"</f>
        <v>0172952429</v>
      </c>
      <c r="B158" t="s">
        <v>95</v>
      </c>
      <c r="C158" t="str">
        <f t="shared" si="10"/>
        <v>16/01/01</v>
      </c>
      <c r="D158" t="str">
        <f t="shared" si="11"/>
        <v>NASSAU</v>
      </c>
      <c r="E158">
        <v>19.16</v>
      </c>
      <c r="F158">
        <v>19.45</v>
      </c>
      <c r="G158">
        <v>23.47</v>
      </c>
      <c r="H158">
        <v>238.74</v>
      </c>
      <c r="I158">
        <v>24.47</v>
      </c>
      <c r="J158">
        <v>20.84</v>
      </c>
      <c r="K158">
        <v>79.42</v>
      </c>
      <c r="L158">
        <v>79.49</v>
      </c>
      <c r="M158">
        <v>19.21</v>
      </c>
      <c r="N158">
        <v>19.77</v>
      </c>
      <c r="O158">
        <v>245.21</v>
      </c>
    </row>
    <row r="159" spans="1:15" ht="15">
      <c r="A159" t="str">
        <f>"0035486129"</f>
        <v>0035486129</v>
      </c>
      <c r="B159" t="s">
        <v>6</v>
      </c>
      <c r="C159" t="str">
        <f t="shared" si="10"/>
        <v>16/01/01</v>
      </c>
      <c r="D159" t="str">
        <f t="shared" si="11"/>
        <v>NASSAU</v>
      </c>
      <c r="E159">
        <v>18.19</v>
      </c>
      <c r="F159">
        <v>17.96</v>
      </c>
      <c r="G159">
        <v>32.61</v>
      </c>
      <c r="H159">
        <v>219.42</v>
      </c>
      <c r="I159">
        <v>26.99</v>
      </c>
      <c r="J159">
        <v>29.07</v>
      </c>
      <c r="K159">
        <v>119.52</v>
      </c>
      <c r="L159">
        <v>155.3</v>
      </c>
      <c r="M159">
        <v>18.86</v>
      </c>
      <c r="N159">
        <v>25.46</v>
      </c>
      <c r="O159">
        <v>238.06</v>
      </c>
    </row>
    <row r="160" spans="1:15" ht="15">
      <c r="A160" t="str">
        <f>"0161452029"</f>
        <v>0161452029</v>
      </c>
      <c r="B160" t="s">
        <v>85</v>
      </c>
      <c r="C160" t="str">
        <f t="shared" si="10"/>
        <v>16/01/01</v>
      </c>
      <c r="D160" t="str">
        <f t="shared" si="11"/>
        <v>NASSAU</v>
      </c>
      <c r="E160">
        <v>0</v>
      </c>
      <c r="F160">
        <v>24.89</v>
      </c>
      <c r="G160">
        <v>0</v>
      </c>
      <c r="H160">
        <v>260.88</v>
      </c>
      <c r="I160">
        <v>0</v>
      </c>
      <c r="J160">
        <v>0</v>
      </c>
      <c r="K160">
        <v>90.5</v>
      </c>
      <c r="L160">
        <v>0</v>
      </c>
      <c r="M160">
        <v>0</v>
      </c>
      <c r="N160">
        <v>0</v>
      </c>
      <c r="O160">
        <v>0</v>
      </c>
    </row>
    <row r="161" spans="1:15" ht="15">
      <c r="A161" t="str">
        <f>"0097443829"</f>
        <v>0097443829</v>
      </c>
      <c r="B161" t="s">
        <v>48</v>
      </c>
      <c r="C161" t="str">
        <f t="shared" si="10"/>
        <v>16/01/01</v>
      </c>
      <c r="D161" t="str">
        <f t="shared" si="11"/>
        <v>NASSAU</v>
      </c>
      <c r="E161">
        <v>19.89</v>
      </c>
      <c r="F161">
        <v>19.65</v>
      </c>
      <c r="G161">
        <v>21.71</v>
      </c>
      <c r="H161">
        <v>237.78</v>
      </c>
      <c r="I161">
        <v>21.1</v>
      </c>
      <c r="J161">
        <v>21.09</v>
      </c>
      <c r="K161">
        <v>78.05</v>
      </c>
      <c r="L161">
        <v>100.35</v>
      </c>
      <c r="M161">
        <v>0</v>
      </c>
      <c r="N161">
        <v>0</v>
      </c>
      <c r="O161">
        <v>0</v>
      </c>
    </row>
    <row r="162" spans="1:15" ht="15">
      <c r="A162" t="str">
        <f>"0108549629"</f>
        <v>0108549629</v>
      </c>
      <c r="B162" t="s">
        <v>59</v>
      </c>
      <c r="C162" t="str">
        <f t="shared" si="10"/>
        <v>16/01/01</v>
      </c>
      <c r="D162" t="str">
        <f t="shared" si="11"/>
        <v>NASSAU</v>
      </c>
      <c r="E162">
        <v>25.98</v>
      </c>
      <c r="F162">
        <v>21.74</v>
      </c>
      <c r="G162">
        <v>34.34</v>
      </c>
      <c r="H162">
        <v>282.62</v>
      </c>
      <c r="I162">
        <v>26.98</v>
      </c>
      <c r="J162">
        <v>29.07</v>
      </c>
      <c r="K162">
        <v>154.83</v>
      </c>
      <c r="L162">
        <v>154.83</v>
      </c>
      <c r="M162">
        <v>18.88</v>
      </c>
      <c r="N162">
        <v>25.46</v>
      </c>
      <c r="O162">
        <v>240.76</v>
      </c>
    </row>
    <row r="163" spans="1:15" ht="15">
      <c r="A163" t="str">
        <f>"0035491229"</f>
        <v>0035491229</v>
      </c>
      <c r="B163" t="s">
        <v>7</v>
      </c>
      <c r="C163" t="str">
        <f t="shared" si="10"/>
        <v>16/01/01</v>
      </c>
      <c r="D163" t="str">
        <f t="shared" si="11"/>
        <v>NASSAU</v>
      </c>
      <c r="E163">
        <v>21.69</v>
      </c>
      <c r="F163">
        <v>20.65</v>
      </c>
      <c r="G163">
        <v>30.89</v>
      </c>
      <c r="H163">
        <v>252.35</v>
      </c>
      <c r="I163">
        <v>26.87</v>
      </c>
      <c r="J163">
        <v>26.87</v>
      </c>
      <c r="K163">
        <v>163.16</v>
      </c>
      <c r="L163">
        <v>163.16</v>
      </c>
      <c r="M163">
        <v>25.23</v>
      </c>
      <c r="N163">
        <v>27.78</v>
      </c>
      <c r="O163">
        <v>316.07</v>
      </c>
    </row>
    <row r="164" spans="1:15" ht="15">
      <c r="A164" t="str">
        <f>"0113351329"</f>
        <v>0113351329</v>
      </c>
      <c r="B164" t="s">
        <v>62</v>
      </c>
      <c r="C164" t="str">
        <f t="shared" si="10"/>
        <v>16/01/01</v>
      </c>
      <c r="D164" t="str">
        <f t="shared" si="11"/>
        <v>NASSAU</v>
      </c>
      <c r="E164">
        <v>24.29</v>
      </c>
      <c r="F164">
        <v>24.24</v>
      </c>
      <c r="G164">
        <v>34.31</v>
      </c>
      <c r="H164">
        <v>273.17</v>
      </c>
      <c r="I164">
        <v>29.01</v>
      </c>
      <c r="J164">
        <v>28.96</v>
      </c>
      <c r="K164">
        <v>146.01</v>
      </c>
      <c r="L164">
        <v>178.82</v>
      </c>
      <c r="M164">
        <v>24.33</v>
      </c>
      <c r="N164">
        <v>25.47</v>
      </c>
      <c r="O164">
        <v>314.27</v>
      </c>
    </row>
    <row r="165" spans="1:15" ht="15">
      <c r="A165" t="str">
        <f>"0072228929"</f>
        <v>0072228929</v>
      </c>
      <c r="B165" t="s">
        <v>22</v>
      </c>
      <c r="C165" t="str">
        <f t="shared" si="10"/>
        <v>16/01/01</v>
      </c>
      <c r="D165" t="str">
        <f t="shared" si="11"/>
        <v>NASSAU</v>
      </c>
      <c r="E165">
        <v>19.45</v>
      </c>
      <c r="F165">
        <v>22.11</v>
      </c>
      <c r="G165">
        <v>25.47</v>
      </c>
      <c r="H165">
        <v>250.69</v>
      </c>
      <c r="I165">
        <v>26.35</v>
      </c>
      <c r="J165">
        <v>23.83</v>
      </c>
      <c r="K165">
        <v>90.51</v>
      </c>
      <c r="L165">
        <v>0</v>
      </c>
      <c r="M165">
        <v>0</v>
      </c>
      <c r="N165">
        <v>0</v>
      </c>
      <c r="O165">
        <v>0</v>
      </c>
    </row>
    <row r="166" spans="1:15" ht="15">
      <c r="A166" t="str">
        <f>"0118018931"</f>
        <v>0118018931</v>
      </c>
      <c r="B166" t="s">
        <v>65</v>
      </c>
      <c r="C166" t="str">
        <f t="shared" si="10"/>
        <v>16/01/01</v>
      </c>
      <c r="D166" t="str">
        <f aca="true" t="shared" si="12" ref="D166:D173">"NIAGARA"</f>
        <v>NIAGARA</v>
      </c>
      <c r="E166">
        <v>21.25</v>
      </c>
      <c r="F166">
        <v>22.09</v>
      </c>
      <c r="G166">
        <v>22.91</v>
      </c>
      <c r="H166">
        <v>206.73</v>
      </c>
      <c r="I166">
        <v>21.28</v>
      </c>
      <c r="J166">
        <v>22.15</v>
      </c>
      <c r="K166">
        <v>79.16</v>
      </c>
      <c r="L166">
        <v>0</v>
      </c>
      <c r="M166">
        <v>19.19</v>
      </c>
      <c r="N166">
        <v>25.92</v>
      </c>
      <c r="O166">
        <v>285.99</v>
      </c>
    </row>
    <row r="167" spans="1:15" ht="15">
      <c r="A167" t="str">
        <f>"0084696031"</f>
        <v>0084696031</v>
      </c>
      <c r="B167" t="s">
        <v>29</v>
      </c>
      <c r="C167" t="str">
        <f t="shared" si="10"/>
        <v>16/01/01</v>
      </c>
      <c r="D167" t="str">
        <f t="shared" si="12"/>
        <v>NIAGARA</v>
      </c>
      <c r="E167">
        <v>17.4</v>
      </c>
      <c r="F167">
        <v>17.56</v>
      </c>
      <c r="G167">
        <v>21.89</v>
      </c>
      <c r="H167">
        <v>239.27</v>
      </c>
      <c r="I167">
        <v>18.47</v>
      </c>
      <c r="J167">
        <v>19.34</v>
      </c>
      <c r="K167">
        <v>0</v>
      </c>
      <c r="L167">
        <v>0</v>
      </c>
      <c r="M167">
        <v>18.33</v>
      </c>
      <c r="N167">
        <v>23.96</v>
      </c>
      <c r="O167">
        <v>211.58</v>
      </c>
    </row>
    <row r="168" spans="1:15" ht="15">
      <c r="A168" t="str">
        <f>"0199214931"</f>
        <v>0199214931</v>
      </c>
      <c r="B168" t="s">
        <v>115</v>
      </c>
      <c r="C168" t="str">
        <f t="shared" si="10"/>
        <v>16/01/01</v>
      </c>
      <c r="D168" t="str">
        <f t="shared" si="12"/>
        <v>NIAGARA</v>
      </c>
      <c r="E168">
        <v>0</v>
      </c>
      <c r="F168">
        <v>21.71</v>
      </c>
      <c r="G168">
        <v>0</v>
      </c>
      <c r="H168">
        <v>0</v>
      </c>
      <c r="I168">
        <v>0</v>
      </c>
      <c r="J168">
        <v>0</v>
      </c>
      <c r="K168">
        <v>86.05</v>
      </c>
      <c r="L168">
        <v>88.3</v>
      </c>
      <c r="M168">
        <v>18.62</v>
      </c>
      <c r="N168">
        <v>22.57</v>
      </c>
      <c r="O168">
        <v>251.06</v>
      </c>
    </row>
    <row r="169" spans="1:15" ht="15">
      <c r="A169" t="str">
        <f>"0231917531"</f>
        <v>0231917531</v>
      </c>
      <c r="B169" t="s">
        <v>126</v>
      </c>
      <c r="C169" t="str">
        <f t="shared" si="10"/>
        <v>16/01/01</v>
      </c>
      <c r="D169" t="str">
        <f t="shared" si="12"/>
        <v>NIAGARA</v>
      </c>
      <c r="E169">
        <v>23.91</v>
      </c>
      <c r="F169">
        <v>23.91</v>
      </c>
      <c r="G169">
        <v>0</v>
      </c>
      <c r="H169">
        <v>250.01</v>
      </c>
      <c r="I169">
        <v>0</v>
      </c>
      <c r="J169">
        <v>0</v>
      </c>
      <c r="K169">
        <v>79.16</v>
      </c>
      <c r="L169">
        <v>0</v>
      </c>
      <c r="M169">
        <v>22.83</v>
      </c>
      <c r="N169">
        <v>23.91</v>
      </c>
      <c r="O169">
        <v>250.01</v>
      </c>
    </row>
    <row r="170" spans="1:15" ht="15">
      <c r="A170" t="str">
        <f>"0088797631"</f>
        <v>0088797631</v>
      </c>
      <c r="B170" t="s">
        <v>31</v>
      </c>
      <c r="C170" t="str">
        <f t="shared" si="10"/>
        <v>16/01/01</v>
      </c>
      <c r="D170" t="str">
        <f t="shared" si="12"/>
        <v>NIAGARA</v>
      </c>
      <c r="E170">
        <v>21.12</v>
      </c>
      <c r="F170">
        <v>21.12</v>
      </c>
      <c r="G170">
        <v>0</v>
      </c>
      <c r="H170">
        <v>0</v>
      </c>
      <c r="I170">
        <v>21.12</v>
      </c>
      <c r="J170">
        <v>21.12</v>
      </c>
      <c r="K170">
        <v>0</v>
      </c>
      <c r="L170">
        <v>59.78</v>
      </c>
      <c r="M170">
        <v>0</v>
      </c>
      <c r="N170">
        <v>0</v>
      </c>
      <c r="O170">
        <v>0</v>
      </c>
    </row>
    <row r="171" spans="1:15" ht="15">
      <c r="A171" t="str">
        <f>"0104801731"</f>
        <v>0104801731</v>
      </c>
      <c r="B171" t="s">
        <v>54</v>
      </c>
      <c r="C171" t="str">
        <f t="shared" si="10"/>
        <v>16/01/01</v>
      </c>
      <c r="D171" t="str">
        <f t="shared" si="12"/>
        <v>NIAGARA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14.77</v>
      </c>
      <c r="N171">
        <v>20.46</v>
      </c>
      <c r="O171">
        <v>0</v>
      </c>
    </row>
    <row r="172" spans="1:15" ht="15">
      <c r="A172" t="str">
        <f>"0240778931"</f>
        <v>0240778931</v>
      </c>
      <c r="B172" t="s">
        <v>130</v>
      </c>
      <c r="C172" t="str">
        <f t="shared" si="10"/>
        <v>16/01/01</v>
      </c>
      <c r="D172" t="str">
        <f t="shared" si="12"/>
        <v>NIAGARA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17.4</v>
      </c>
      <c r="N172">
        <v>0</v>
      </c>
      <c r="O172">
        <v>0</v>
      </c>
    </row>
    <row r="173" spans="1:15" ht="15">
      <c r="A173" t="str">
        <f>"0081106931"</f>
        <v>0081106931</v>
      </c>
      <c r="B173" t="s">
        <v>27</v>
      </c>
      <c r="C173" t="str">
        <f t="shared" si="10"/>
        <v>16/01/01</v>
      </c>
      <c r="D173" t="str">
        <f t="shared" si="12"/>
        <v>NIAGARA</v>
      </c>
      <c r="E173">
        <v>20.27</v>
      </c>
      <c r="F173">
        <v>21.2</v>
      </c>
      <c r="G173">
        <v>23.36</v>
      </c>
      <c r="H173">
        <v>260.18</v>
      </c>
      <c r="I173">
        <v>21.57</v>
      </c>
      <c r="J173">
        <v>22.6</v>
      </c>
      <c r="K173">
        <v>94.84</v>
      </c>
      <c r="L173">
        <v>94.83</v>
      </c>
      <c r="M173">
        <v>18.92</v>
      </c>
      <c r="N173">
        <v>20.95</v>
      </c>
      <c r="O173">
        <v>239.09</v>
      </c>
    </row>
    <row r="174" spans="1:15" ht="15">
      <c r="A174" t="str">
        <f>"0327725432"</f>
        <v>0327725432</v>
      </c>
      <c r="B174" t="s">
        <v>150</v>
      </c>
      <c r="C174" t="str">
        <f t="shared" si="10"/>
        <v>16/01/01</v>
      </c>
      <c r="D174" t="str">
        <f aca="true" t="shared" si="13" ref="D174:D180">"ONEIDA"</f>
        <v>ONEIDA</v>
      </c>
      <c r="E174">
        <v>0</v>
      </c>
      <c r="F174">
        <v>19.33</v>
      </c>
      <c r="G174">
        <v>0</v>
      </c>
      <c r="H174">
        <v>0</v>
      </c>
      <c r="I174">
        <v>0</v>
      </c>
      <c r="J174">
        <v>0</v>
      </c>
      <c r="K174">
        <v>108.7</v>
      </c>
      <c r="L174">
        <v>114.72</v>
      </c>
      <c r="M174">
        <v>0</v>
      </c>
      <c r="N174">
        <v>0</v>
      </c>
      <c r="O174">
        <v>0</v>
      </c>
    </row>
    <row r="175" spans="1:15" ht="15">
      <c r="A175" t="str">
        <f>"0092127932"</f>
        <v>0092127932</v>
      </c>
      <c r="B175" t="s">
        <v>39</v>
      </c>
      <c r="C175" t="str">
        <f t="shared" si="10"/>
        <v>16/01/01</v>
      </c>
      <c r="D175" t="str">
        <f t="shared" si="13"/>
        <v>ONEIDA</v>
      </c>
      <c r="E175">
        <v>17.89</v>
      </c>
      <c r="F175">
        <v>18.69</v>
      </c>
      <c r="G175">
        <v>0</v>
      </c>
      <c r="H175">
        <v>0</v>
      </c>
      <c r="I175">
        <v>17.92</v>
      </c>
      <c r="J175">
        <v>18.79</v>
      </c>
      <c r="K175">
        <v>82.69</v>
      </c>
      <c r="L175">
        <v>0</v>
      </c>
      <c r="M175">
        <v>0</v>
      </c>
      <c r="N175">
        <v>0</v>
      </c>
      <c r="O175">
        <v>0</v>
      </c>
    </row>
    <row r="176" spans="1:15" ht="15">
      <c r="A176" t="str">
        <f>"0257536832"</f>
        <v>0257536832</v>
      </c>
      <c r="B176" t="s">
        <v>136</v>
      </c>
      <c r="C176" t="str">
        <f t="shared" si="10"/>
        <v>16/01/01</v>
      </c>
      <c r="D176" t="str">
        <f t="shared" si="13"/>
        <v>ONEIDA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18.59</v>
      </c>
      <c r="N176">
        <v>18.59</v>
      </c>
      <c r="O176">
        <v>0</v>
      </c>
    </row>
    <row r="177" spans="1:15" ht="15">
      <c r="A177" t="str">
        <f>"0171776632"</f>
        <v>0171776632</v>
      </c>
      <c r="B177" t="s">
        <v>94</v>
      </c>
      <c r="C177" t="str">
        <f t="shared" si="10"/>
        <v>16/01/01</v>
      </c>
      <c r="D177" t="str">
        <f t="shared" si="13"/>
        <v>ONEIDA</v>
      </c>
      <c r="E177">
        <v>19.61</v>
      </c>
      <c r="F177">
        <v>20.28</v>
      </c>
      <c r="G177">
        <v>0</v>
      </c>
      <c r="H177">
        <v>0</v>
      </c>
      <c r="I177">
        <v>0</v>
      </c>
      <c r="J177">
        <v>0</v>
      </c>
      <c r="K177">
        <v>39.13</v>
      </c>
      <c r="L177">
        <v>0</v>
      </c>
      <c r="M177">
        <v>0</v>
      </c>
      <c r="N177">
        <v>0</v>
      </c>
      <c r="O177">
        <v>0</v>
      </c>
    </row>
    <row r="178" spans="1:15" ht="15">
      <c r="A178" t="str">
        <f>"0097412132"</f>
        <v>0097412132</v>
      </c>
      <c r="B178" t="s">
        <v>46</v>
      </c>
      <c r="C178" t="str">
        <f t="shared" si="10"/>
        <v>16/01/01</v>
      </c>
      <c r="D178" t="str">
        <f t="shared" si="13"/>
        <v>ONEIDA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14.38</v>
      </c>
      <c r="N178">
        <v>16</v>
      </c>
      <c r="O178">
        <v>0</v>
      </c>
    </row>
    <row r="179" spans="1:15" ht="15">
      <c r="A179" t="str">
        <f>"0105243732"</f>
        <v>0105243732</v>
      </c>
      <c r="B179" t="s">
        <v>55</v>
      </c>
      <c r="C179" t="str">
        <f t="shared" si="10"/>
        <v>16/01/01</v>
      </c>
      <c r="D179" t="str">
        <f t="shared" si="13"/>
        <v>ONEIDA</v>
      </c>
      <c r="E179">
        <v>23.71</v>
      </c>
      <c r="F179">
        <v>17.07</v>
      </c>
      <c r="G179">
        <v>27.09</v>
      </c>
      <c r="H179">
        <v>274.32</v>
      </c>
      <c r="I179">
        <v>25.46</v>
      </c>
      <c r="J179">
        <v>26.91</v>
      </c>
      <c r="K179">
        <v>158.33</v>
      </c>
      <c r="L179">
        <v>0</v>
      </c>
      <c r="M179">
        <v>21.59</v>
      </c>
      <c r="N179">
        <v>24.01</v>
      </c>
      <c r="O179">
        <v>240.84</v>
      </c>
    </row>
    <row r="180" spans="1:15" ht="15">
      <c r="A180" t="str">
        <f>"0106073732"</f>
        <v>0106073732</v>
      </c>
      <c r="B180" t="s">
        <v>56</v>
      </c>
      <c r="C180" t="str">
        <f t="shared" si="10"/>
        <v>16/01/01</v>
      </c>
      <c r="D180" t="str">
        <f t="shared" si="13"/>
        <v>ONEIDA</v>
      </c>
      <c r="E180">
        <v>20.91</v>
      </c>
      <c r="F180">
        <v>21.41</v>
      </c>
      <c r="G180">
        <v>0</v>
      </c>
      <c r="H180">
        <v>0</v>
      </c>
      <c r="I180">
        <v>20.91</v>
      </c>
      <c r="J180">
        <v>21.41</v>
      </c>
      <c r="K180">
        <v>76.37</v>
      </c>
      <c r="L180">
        <v>79.16</v>
      </c>
      <c r="M180">
        <v>0</v>
      </c>
      <c r="N180">
        <v>0</v>
      </c>
      <c r="O180">
        <v>0</v>
      </c>
    </row>
    <row r="181" spans="1:15" ht="15">
      <c r="A181" t="str">
        <f>"0084696033"</f>
        <v>0084696033</v>
      </c>
      <c r="B181" t="s">
        <v>29</v>
      </c>
      <c r="C181" t="str">
        <f t="shared" si="10"/>
        <v>16/01/01</v>
      </c>
      <c r="D181" t="str">
        <f aca="true" t="shared" si="14" ref="D181:D189">"ONONDAGA"</f>
        <v>ONONDAGA</v>
      </c>
      <c r="E181">
        <v>16.56</v>
      </c>
      <c r="F181">
        <v>16.52</v>
      </c>
      <c r="G181">
        <v>23.87</v>
      </c>
      <c r="H181">
        <v>232.13</v>
      </c>
      <c r="I181">
        <v>23.38</v>
      </c>
      <c r="J181">
        <v>24.25</v>
      </c>
      <c r="K181">
        <v>124.07</v>
      </c>
      <c r="L181">
        <v>0</v>
      </c>
      <c r="M181">
        <v>21.98</v>
      </c>
      <c r="N181">
        <v>24.35</v>
      </c>
      <c r="O181">
        <v>225.54</v>
      </c>
    </row>
    <row r="182" spans="1:15" ht="15">
      <c r="A182" t="str">
        <f>"0173391733"</f>
        <v>0173391733</v>
      </c>
      <c r="B182" t="s">
        <v>96</v>
      </c>
      <c r="C182" t="str">
        <f t="shared" si="10"/>
        <v>16/01/01</v>
      </c>
      <c r="D182" t="str">
        <f t="shared" si="14"/>
        <v>ONONDAGA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17.36</v>
      </c>
      <c r="N182">
        <v>0</v>
      </c>
      <c r="O182">
        <v>0</v>
      </c>
    </row>
    <row r="183" spans="1:15" ht="15">
      <c r="A183" t="str">
        <f>"0128870633"</f>
        <v>0128870633</v>
      </c>
      <c r="B183" t="s">
        <v>70</v>
      </c>
      <c r="C183" t="str">
        <f t="shared" si="10"/>
        <v>16/01/01</v>
      </c>
      <c r="D183" t="str">
        <f t="shared" si="14"/>
        <v>ONONDAGA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16.49</v>
      </c>
      <c r="N183">
        <v>17.76</v>
      </c>
      <c r="O183">
        <v>0</v>
      </c>
    </row>
    <row r="184" spans="1:15" ht="15">
      <c r="A184" t="str">
        <f>"0058802333"</f>
        <v>0058802333</v>
      </c>
      <c r="B184" t="s">
        <v>19</v>
      </c>
      <c r="C184" t="str">
        <f t="shared" si="10"/>
        <v>16/01/01</v>
      </c>
      <c r="D184" t="str">
        <f t="shared" si="14"/>
        <v>ONONDAGA</v>
      </c>
      <c r="E184">
        <v>22.56</v>
      </c>
      <c r="F184">
        <v>23.35</v>
      </c>
      <c r="G184">
        <v>24.22</v>
      </c>
      <c r="H184">
        <v>0</v>
      </c>
      <c r="I184">
        <v>0</v>
      </c>
      <c r="J184">
        <v>0</v>
      </c>
      <c r="K184">
        <v>121.18</v>
      </c>
      <c r="L184">
        <v>121.18</v>
      </c>
      <c r="M184">
        <v>0</v>
      </c>
      <c r="N184">
        <v>0</v>
      </c>
      <c r="O184">
        <v>0</v>
      </c>
    </row>
    <row r="185" spans="1:15" ht="15">
      <c r="A185" t="str">
        <f>"0103038633"</f>
        <v>0103038633</v>
      </c>
      <c r="B185" t="s">
        <v>52</v>
      </c>
      <c r="C185" t="str">
        <f t="shared" si="10"/>
        <v>16/01/01</v>
      </c>
      <c r="D185" t="str">
        <f t="shared" si="14"/>
        <v>ONONDAGA</v>
      </c>
      <c r="E185">
        <v>25.57</v>
      </c>
      <c r="F185">
        <v>26.09</v>
      </c>
      <c r="G185">
        <v>0</v>
      </c>
      <c r="H185">
        <v>0</v>
      </c>
      <c r="I185">
        <v>0</v>
      </c>
      <c r="J185">
        <v>0</v>
      </c>
      <c r="K185">
        <v>65.22</v>
      </c>
      <c r="L185">
        <v>0</v>
      </c>
      <c r="M185">
        <v>0</v>
      </c>
      <c r="N185">
        <v>0</v>
      </c>
      <c r="O185">
        <v>0</v>
      </c>
    </row>
    <row r="186" spans="1:15" ht="15">
      <c r="A186" t="str">
        <f>"0058800533"</f>
        <v>0058800533</v>
      </c>
      <c r="B186" t="s">
        <v>17</v>
      </c>
      <c r="C186" t="str">
        <f t="shared" si="10"/>
        <v>16/01/01</v>
      </c>
      <c r="D186" t="str">
        <f t="shared" si="14"/>
        <v>ONONDAGA</v>
      </c>
      <c r="E186">
        <v>21.78</v>
      </c>
      <c r="F186">
        <v>22.58</v>
      </c>
      <c r="G186">
        <v>0</v>
      </c>
      <c r="H186">
        <v>0</v>
      </c>
      <c r="I186">
        <v>0</v>
      </c>
      <c r="J186">
        <v>0</v>
      </c>
      <c r="K186">
        <v>79.16</v>
      </c>
      <c r="L186">
        <v>0</v>
      </c>
      <c r="M186">
        <v>0</v>
      </c>
      <c r="N186">
        <v>0</v>
      </c>
      <c r="O186">
        <v>0</v>
      </c>
    </row>
    <row r="187" spans="1:15" ht="15">
      <c r="A187" t="str">
        <f>"0231917533"</f>
        <v>0231917533</v>
      </c>
      <c r="B187" t="s">
        <v>126</v>
      </c>
      <c r="C187" t="str">
        <f t="shared" si="10"/>
        <v>16/01/01</v>
      </c>
      <c r="D187" t="str">
        <f t="shared" si="14"/>
        <v>ONONDAGA</v>
      </c>
      <c r="E187">
        <v>19.09</v>
      </c>
      <c r="F187">
        <v>23.91</v>
      </c>
      <c r="G187">
        <v>0</v>
      </c>
      <c r="H187">
        <v>202.35</v>
      </c>
      <c r="I187">
        <v>0</v>
      </c>
      <c r="J187">
        <v>0</v>
      </c>
      <c r="K187">
        <v>75.04</v>
      </c>
      <c r="L187">
        <v>0</v>
      </c>
      <c r="M187">
        <v>20.62</v>
      </c>
      <c r="N187">
        <v>19.46</v>
      </c>
      <c r="O187">
        <v>194.57</v>
      </c>
    </row>
    <row r="188" spans="1:15" ht="15">
      <c r="A188" t="str">
        <f>"0328898833"</f>
        <v>0328898833</v>
      </c>
      <c r="B188" t="s">
        <v>152</v>
      </c>
      <c r="C188" t="str">
        <f t="shared" si="10"/>
        <v>16/01/01</v>
      </c>
      <c r="D188" t="str">
        <f t="shared" si="14"/>
        <v>ONONDAGA</v>
      </c>
      <c r="E188">
        <v>20.44</v>
      </c>
      <c r="F188">
        <v>21.23</v>
      </c>
      <c r="G188">
        <v>0</v>
      </c>
      <c r="H188">
        <v>0</v>
      </c>
      <c r="I188">
        <v>0</v>
      </c>
      <c r="J188">
        <v>0</v>
      </c>
      <c r="K188">
        <v>85.23</v>
      </c>
      <c r="L188">
        <v>85.23</v>
      </c>
      <c r="M188">
        <v>20.37</v>
      </c>
      <c r="N188">
        <v>0</v>
      </c>
      <c r="O188">
        <v>0</v>
      </c>
    </row>
    <row r="189" spans="1:15" ht="15">
      <c r="A189" t="str">
        <f>"0105243733"</f>
        <v>0105243733</v>
      </c>
      <c r="B189" t="s">
        <v>55</v>
      </c>
      <c r="C189" t="str">
        <f t="shared" si="10"/>
        <v>16/01/01</v>
      </c>
      <c r="D189" t="str">
        <f t="shared" si="14"/>
        <v>ONONDAGA</v>
      </c>
      <c r="E189">
        <v>21.76</v>
      </c>
      <c r="F189">
        <v>22.42</v>
      </c>
      <c r="G189">
        <v>21.89</v>
      </c>
      <c r="H189">
        <v>268.23</v>
      </c>
      <c r="I189">
        <v>21.56</v>
      </c>
      <c r="J189">
        <v>22.98</v>
      </c>
      <c r="K189">
        <v>158.3</v>
      </c>
      <c r="L189">
        <v>0</v>
      </c>
      <c r="M189">
        <v>21.56</v>
      </c>
      <c r="N189">
        <v>24</v>
      </c>
      <c r="O189">
        <v>275.25</v>
      </c>
    </row>
    <row r="190" spans="1:15" ht="15">
      <c r="A190" t="str">
        <f>"0421287334"</f>
        <v>0421287334</v>
      </c>
      <c r="B190" t="s">
        <v>170</v>
      </c>
      <c r="C190" t="str">
        <f t="shared" si="10"/>
        <v>16/01/01</v>
      </c>
      <c r="D190" t="str">
        <f aca="true" t="shared" si="15" ref="D190:D198">"ONTARIO"</f>
        <v>ONTARIO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13.9</v>
      </c>
      <c r="N190">
        <v>21.36</v>
      </c>
      <c r="O190">
        <v>0</v>
      </c>
    </row>
    <row r="191" spans="1:15" ht="15">
      <c r="A191" t="str">
        <f>"0302858034"</f>
        <v>0302858034</v>
      </c>
      <c r="B191" t="s">
        <v>147</v>
      </c>
      <c r="C191" t="str">
        <f t="shared" si="10"/>
        <v>16/01/01</v>
      </c>
      <c r="D191" t="str">
        <f t="shared" si="15"/>
        <v>ONTARIO</v>
      </c>
      <c r="E191">
        <v>23.9</v>
      </c>
      <c r="F191">
        <v>23.92</v>
      </c>
      <c r="G191">
        <v>0</v>
      </c>
      <c r="H191">
        <v>0</v>
      </c>
      <c r="I191">
        <v>0</v>
      </c>
      <c r="J191">
        <v>0</v>
      </c>
      <c r="K191">
        <v>145.83</v>
      </c>
      <c r="L191">
        <v>145.89</v>
      </c>
      <c r="M191">
        <v>0</v>
      </c>
      <c r="N191">
        <v>0</v>
      </c>
      <c r="O191">
        <v>0</v>
      </c>
    </row>
    <row r="192" spans="1:15" ht="15">
      <c r="A192" t="str">
        <f>"0194568834"</f>
        <v>0194568834</v>
      </c>
      <c r="B192" t="s">
        <v>114</v>
      </c>
      <c r="C192" t="str">
        <f t="shared" si="10"/>
        <v>16/01/01</v>
      </c>
      <c r="D192" t="str">
        <f t="shared" si="15"/>
        <v>ONTARIO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16.14</v>
      </c>
      <c r="N192">
        <v>17.75</v>
      </c>
      <c r="O192">
        <v>0</v>
      </c>
    </row>
    <row r="193" spans="1:15" ht="15">
      <c r="A193" t="str">
        <f>"0307657934"</f>
        <v>0307657934</v>
      </c>
      <c r="B193" t="s">
        <v>148</v>
      </c>
      <c r="C193" t="str">
        <f t="shared" si="10"/>
        <v>16/01/01</v>
      </c>
      <c r="D193" t="str">
        <f t="shared" si="15"/>
        <v>ONTARIO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22.2</v>
      </c>
      <c r="N193">
        <v>23.63</v>
      </c>
      <c r="O193">
        <v>0</v>
      </c>
    </row>
    <row r="194" spans="1:15" ht="15">
      <c r="A194" t="str">
        <f>"0182358734"</f>
        <v>0182358734</v>
      </c>
      <c r="B194" t="s">
        <v>111</v>
      </c>
      <c r="C194" t="str">
        <f t="shared" si="10"/>
        <v>16/01/01</v>
      </c>
      <c r="D194" t="str">
        <f t="shared" si="15"/>
        <v>ONTARIO</v>
      </c>
      <c r="E194">
        <v>22.49</v>
      </c>
      <c r="F194">
        <v>22.52</v>
      </c>
      <c r="G194">
        <v>0</v>
      </c>
      <c r="H194">
        <v>0</v>
      </c>
      <c r="I194">
        <v>0</v>
      </c>
      <c r="J194">
        <v>0</v>
      </c>
      <c r="K194">
        <v>54.35</v>
      </c>
      <c r="L194">
        <v>91.96</v>
      </c>
      <c r="M194">
        <v>0</v>
      </c>
      <c r="N194">
        <v>0</v>
      </c>
      <c r="O194">
        <v>0</v>
      </c>
    </row>
    <row r="195" spans="1:15" ht="15">
      <c r="A195" t="str">
        <f>"0147051134"</f>
        <v>0147051134</v>
      </c>
      <c r="B195" t="s">
        <v>80</v>
      </c>
      <c r="C195" t="str">
        <f t="shared" si="10"/>
        <v>16/01/01</v>
      </c>
      <c r="D195" t="str">
        <f t="shared" si="15"/>
        <v>ONTARIO</v>
      </c>
      <c r="E195">
        <v>24.57</v>
      </c>
      <c r="F195">
        <v>25.92</v>
      </c>
      <c r="G195">
        <v>28.81</v>
      </c>
      <c r="H195">
        <v>0</v>
      </c>
      <c r="I195">
        <v>28.46</v>
      </c>
      <c r="J195">
        <v>27.57</v>
      </c>
      <c r="K195">
        <v>130.09</v>
      </c>
      <c r="L195">
        <v>130.09</v>
      </c>
      <c r="M195">
        <v>0</v>
      </c>
      <c r="N195">
        <v>0</v>
      </c>
      <c r="O195">
        <v>0</v>
      </c>
    </row>
    <row r="196" spans="1:15" ht="15">
      <c r="A196" t="str">
        <f>"0416090934"</f>
        <v>0416090934</v>
      </c>
      <c r="B196" t="s">
        <v>165</v>
      </c>
      <c r="C196" t="str">
        <f t="shared" si="10"/>
        <v>16/01/01</v>
      </c>
      <c r="D196" t="str">
        <f t="shared" si="15"/>
        <v>ONTARIO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170.12</v>
      </c>
      <c r="L196">
        <v>170.12</v>
      </c>
      <c r="M196">
        <v>27.78</v>
      </c>
      <c r="N196">
        <v>29.16</v>
      </c>
      <c r="O196">
        <v>371.82</v>
      </c>
    </row>
    <row r="197" spans="1:15" ht="15">
      <c r="A197" t="str">
        <f>"0231917534"</f>
        <v>0231917534</v>
      </c>
      <c r="B197" t="s">
        <v>127</v>
      </c>
      <c r="C197" t="str">
        <f t="shared" si="10"/>
        <v>16/01/01</v>
      </c>
      <c r="D197" t="str">
        <f t="shared" si="15"/>
        <v>ONTARIO</v>
      </c>
      <c r="E197">
        <v>17.89</v>
      </c>
      <c r="F197">
        <v>17.92</v>
      </c>
      <c r="G197">
        <v>0</v>
      </c>
      <c r="H197">
        <v>180.38</v>
      </c>
      <c r="I197">
        <v>0</v>
      </c>
      <c r="J197">
        <v>0</v>
      </c>
      <c r="K197">
        <v>70.32</v>
      </c>
      <c r="L197">
        <v>0</v>
      </c>
      <c r="M197">
        <v>16.14</v>
      </c>
      <c r="N197">
        <v>18.03</v>
      </c>
      <c r="O197">
        <v>180.38</v>
      </c>
    </row>
    <row r="198" spans="1:15" ht="15">
      <c r="A198" t="str">
        <f>"0035491234"</f>
        <v>0035491234</v>
      </c>
      <c r="B198" t="s">
        <v>7</v>
      </c>
      <c r="C198" t="str">
        <f t="shared" si="10"/>
        <v>16/01/01</v>
      </c>
      <c r="D198" t="str">
        <f t="shared" si="15"/>
        <v>ONTARIO</v>
      </c>
      <c r="E198">
        <v>27.35</v>
      </c>
      <c r="F198">
        <v>31.27</v>
      </c>
      <c r="G198">
        <v>31.62</v>
      </c>
      <c r="H198">
        <v>326.1</v>
      </c>
      <c r="I198">
        <v>29.64</v>
      </c>
      <c r="J198">
        <v>32.1</v>
      </c>
      <c r="K198">
        <v>170.12</v>
      </c>
      <c r="L198">
        <v>170.12</v>
      </c>
      <c r="M198">
        <v>28.6</v>
      </c>
      <c r="N198">
        <v>30.69</v>
      </c>
      <c r="O198">
        <v>357.71</v>
      </c>
    </row>
    <row r="199" spans="1:15" ht="15">
      <c r="A199" t="str">
        <f>"0128098235"</f>
        <v>0128098235</v>
      </c>
      <c r="B199" t="s">
        <v>69</v>
      </c>
      <c r="C199" t="str">
        <f aca="true" t="shared" si="16" ref="C199:C262">"16/01/01"</f>
        <v>16/01/01</v>
      </c>
      <c r="D199" t="str">
        <f aca="true" t="shared" si="17" ref="D199:D210">"ORANGE"</f>
        <v>ORANGE</v>
      </c>
      <c r="E199">
        <v>23.75</v>
      </c>
      <c r="F199">
        <v>24.74</v>
      </c>
      <c r="G199">
        <v>24.59</v>
      </c>
      <c r="H199">
        <v>305.58</v>
      </c>
      <c r="I199">
        <v>22.02</v>
      </c>
      <c r="J199">
        <v>22.89</v>
      </c>
      <c r="K199">
        <v>142.13</v>
      </c>
      <c r="L199">
        <v>138.99</v>
      </c>
      <c r="M199">
        <v>22.01</v>
      </c>
      <c r="N199">
        <v>23.61</v>
      </c>
      <c r="O199">
        <v>263.17</v>
      </c>
    </row>
    <row r="200" spans="1:15" ht="15">
      <c r="A200" t="str">
        <f>"0173848535"</f>
        <v>0173848535</v>
      </c>
      <c r="B200" t="s">
        <v>97</v>
      </c>
      <c r="C200" t="str">
        <f t="shared" si="16"/>
        <v>16/01/01</v>
      </c>
      <c r="D200" t="str">
        <f t="shared" si="17"/>
        <v>ORANGE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17.21</v>
      </c>
      <c r="N200">
        <v>17.21</v>
      </c>
      <c r="O200">
        <v>0</v>
      </c>
    </row>
    <row r="201" spans="1:15" ht="15">
      <c r="A201" t="str">
        <f>"0099143335"</f>
        <v>0099143335</v>
      </c>
      <c r="B201" t="s">
        <v>49</v>
      </c>
      <c r="C201" t="str">
        <f t="shared" si="16"/>
        <v>16/01/01</v>
      </c>
      <c r="D201" t="str">
        <f t="shared" si="17"/>
        <v>ORANGE</v>
      </c>
      <c r="E201">
        <v>20.79</v>
      </c>
      <c r="F201">
        <v>22.07</v>
      </c>
      <c r="G201">
        <v>28.85</v>
      </c>
      <c r="H201">
        <v>298.92</v>
      </c>
      <c r="I201">
        <v>28.81</v>
      </c>
      <c r="J201">
        <v>30.06</v>
      </c>
      <c r="K201">
        <v>137.33</v>
      </c>
      <c r="L201">
        <v>127.73</v>
      </c>
      <c r="M201">
        <v>18.21</v>
      </c>
      <c r="N201">
        <v>26.52</v>
      </c>
      <c r="O201">
        <v>225.9</v>
      </c>
    </row>
    <row r="202" spans="1:15" ht="15">
      <c r="A202" t="str">
        <f>"0221745835"</f>
        <v>0221745835</v>
      </c>
      <c r="B202" t="s">
        <v>124</v>
      </c>
      <c r="C202" t="str">
        <f t="shared" si="16"/>
        <v>16/01/01</v>
      </c>
      <c r="D202" t="str">
        <f t="shared" si="17"/>
        <v>ORANGE</v>
      </c>
      <c r="E202">
        <v>22.74</v>
      </c>
      <c r="F202">
        <v>23.72</v>
      </c>
      <c r="G202">
        <v>26.48</v>
      </c>
      <c r="H202">
        <v>281.97</v>
      </c>
      <c r="I202">
        <v>24.98</v>
      </c>
      <c r="J202">
        <v>25.57</v>
      </c>
      <c r="K202">
        <v>128.19</v>
      </c>
      <c r="L202">
        <v>128.19</v>
      </c>
      <c r="M202">
        <v>19.89</v>
      </c>
      <c r="N202">
        <v>22.9</v>
      </c>
      <c r="O202">
        <v>233.48</v>
      </c>
    </row>
    <row r="203" spans="1:15" ht="15">
      <c r="A203" t="str">
        <f>"0179895235"</f>
        <v>0179895235</v>
      </c>
      <c r="B203" t="s">
        <v>110</v>
      </c>
      <c r="C203" t="str">
        <f t="shared" si="16"/>
        <v>16/01/01</v>
      </c>
      <c r="D203" t="str">
        <f t="shared" si="17"/>
        <v>ORANGE</v>
      </c>
      <c r="E203">
        <v>24.46</v>
      </c>
      <c r="F203">
        <v>19.91</v>
      </c>
      <c r="G203">
        <v>26.11</v>
      </c>
      <c r="H203">
        <v>258.96</v>
      </c>
      <c r="I203">
        <v>24.48</v>
      </c>
      <c r="J203">
        <v>19.96</v>
      </c>
      <c r="K203">
        <v>79.17</v>
      </c>
      <c r="L203">
        <v>79.17</v>
      </c>
      <c r="M203">
        <v>19.27</v>
      </c>
      <c r="N203">
        <v>20.87</v>
      </c>
      <c r="O203">
        <v>250.51</v>
      </c>
    </row>
    <row r="204" spans="1:15" ht="15">
      <c r="A204" t="str">
        <f>"0324945635"</f>
        <v>0324945635</v>
      </c>
      <c r="B204" t="s">
        <v>149</v>
      </c>
      <c r="C204" t="str">
        <f t="shared" si="16"/>
        <v>16/01/01</v>
      </c>
      <c r="D204" t="str">
        <f t="shared" si="17"/>
        <v>ORANGE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19.09</v>
      </c>
      <c r="N204">
        <v>0</v>
      </c>
      <c r="O204">
        <v>0</v>
      </c>
    </row>
    <row r="205" spans="1:15" ht="15">
      <c r="A205" t="str">
        <f>"0173893035"</f>
        <v>0173893035</v>
      </c>
      <c r="B205" t="s">
        <v>98</v>
      </c>
      <c r="C205" t="str">
        <f t="shared" si="16"/>
        <v>16/01/01</v>
      </c>
      <c r="D205" t="str">
        <f t="shared" si="17"/>
        <v>ORANGE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16.41</v>
      </c>
      <c r="N205">
        <v>18.04</v>
      </c>
      <c r="O205">
        <v>0</v>
      </c>
    </row>
    <row r="206" spans="1:15" ht="15">
      <c r="A206" t="str">
        <f>"0091059035"</f>
        <v>0091059035</v>
      </c>
      <c r="B206" t="s">
        <v>36</v>
      </c>
      <c r="C206" t="str">
        <f t="shared" si="16"/>
        <v>16/01/01</v>
      </c>
      <c r="D206" t="str">
        <f t="shared" si="17"/>
        <v>ORANGE</v>
      </c>
      <c r="E206">
        <v>20.82</v>
      </c>
      <c r="F206">
        <v>21.41</v>
      </c>
      <c r="G206">
        <v>23.15</v>
      </c>
      <c r="H206">
        <v>264.36</v>
      </c>
      <c r="I206">
        <v>20.87</v>
      </c>
      <c r="J206">
        <v>21.16</v>
      </c>
      <c r="K206">
        <v>98.05</v>
      </c>
      <c r="L206">
        <v>96</v>
      </c>
      <c r="M206">
        <v>18.06</v>
      </c>
      <c r="N206">
        <v>20.5</v>
      </c>
      <c r="O206">
        <v>234.15</v>
      </c>
    </row>
    <row r="207" spans="1:15" ht="15">
      <c r="A207" t="str">
        <f>"0174097235"</f>
        <v>0174097235</v>
      </c>
      <c r="B207" t="s">
        <v>99</v>
      </c>
      <c r="C207" t="str">
        <f t="shared" si="16"/>
        <v>16/01/01</v>
      </c>
      <c r="D207" t="str">
        <f t="shared" si="17"/>
        <v>ORANGE</v>
      </c>
      <c r="E207">
        <v>19.88</v>
      </c>
      <c r="F207">
        <v>20.14</v>
      </c>
      <c r="G207">
        <v>19.87</v>
      </c>
      <c r="H207">
        <v>256.06</v>
      </c>
      <c r="I207">
        <v>19.88</v>
      </c>
      <c r="J207">
        <v>19.88</v>
      </c>
      <c r="K207">
        <v>89.95</v>
      </c>
      <c r="L207">
        <v>71.5</v>
      </c>
      <c r="M207">
        <v>19.81</v>
      </c>
      <c r="N207">
        <v>21.62</v>
      </c>
      <c r="O207">
        <v>194.29</v>
      </c>
    </row>
    <row r="208" spans="1:15" ht="15">
      <c r="A208" t="str">
        <f>"0106927235"</f>
        <v>0106927235</v>
      </c>
      <c r="B208" t="s">
        <v>58</v>
      </c>
      <c r="C208" t="str">
        <f t="shared" si="16"/>
        <v>16/01/01</v>
      </c>
      <c r="D208" t="str">
        <f t="shared" si="17"/>
        <v>ORANGE</v>
      </c>
      <c r="E208">
        <v>19.37</v>
      </c>
      <c r="F208">
        <v>19.4</v>
      </c>
      <c r="G208">
        <v>19.46</v>
      </c>
      <c r="H208">
        <v>248.6</v>
      </c>
      <c r="I208">
        <v>0</v>
      </c>
      <c r="J208">
        <v>0</v>
      </c>
      <c r="K208">
        <v>84.73</v>
      </c>
      <c r="L208">
        <v>83.48</v>
      </c>
      <c r="M208">
        <v>20.47</v>
      </c>
      <c r="N208">
        <v>21.86</v>
      </c>
      <c r="O208">
        <v>0</v>
      </c>
    </row>
    <row r="209" spans="1:15" ht="15">
      <c r="A209" t="str">
        <f>"0035491235"</f>
        <v>0035491235</v>
      </c>
      <c r="B209" t="s">
        <v>7</v>
      </c>
      <c r="C209" t="str">
        <f t="shared" si="16"/>
        <v>16/01/01</v>
      </c>
      <c r="D209" t="str">
        <f t="shared" si="17"/>
        <v>ORANGE</v>
      </c>
      <c r="E209">
        <v>19.13</v>
      </c>
      <c r="F209">
        <v>19.79</v>
      </c>
      <c r="G209">
        <v>30.04</v>
      </c>
      <c r="H209">
        <v>243.19</v>
      </c>
      <c r="I209">
        <v>26.85</v>
      </c>
      <c r="J209">
        <v>27.73</v>
      </c>
      <c r="K209">
        <v>101.26</v>
      </c>
      <c r="L209">
        <v>93.67</v>
      </c>
      <c r="M209">
        <v>16.75</v>
      </c>
      <c r="N209">
        <v>26.69</v>
      </c>
      <c r="O209">
        <v>215.66</v>
      </c>
    </row>
    <row r="210" spans="1:15" ht="15">
      <c r="A210" t="str">
        <f>"0092528235"</f>
        <v>0092528235</v>
      </c>
      <c r="B210" t="s">
        <v>40</v>
      </c>
      <c r="C210" t="str">
        <f t="shared" si="16"/>
        <v>16/01/01</v>
      </c>
      <c r="D210" t="str">
        <f t="shared" si="17"/>
        <v>ORANGE</v>
      </c>
      <c r="E210">
        <v>24.46</v>
      </c>
      <c r="F210">
        <v>24.46</v>
      </c>
      <c r="G210">
        <v>0</v>
      </c>
      <c r="H210">
        <v>0</v>
      </c>
      <c r="I210">
        <v>0</v>
      </c>
      <c r="J210">
        <v>0</v>
      </c>
      <c r="K210">
        <v>74.58</v>
      </c>
      <c r="L210">
        <v>0</v>
      </c>
      <c r="M210">
        <v>0</v>
      </c>
      <c r="N210">
        <v>0</v>
      </c>
      <c r="O210">
        <v>0</v>
      </c>
    </row>
    <row r="211" spans="1:15" ht="15">
      <c r="A211" t="str">
        <f>"0194568836"</f>
        <v>0194568836</v>
      </c>
      <c r="B211" t="s">
        <v>114</v>
      </c>
      <c r="C211" t="str">
        <f t="shared" si="16"/>
        <v>16/01/01</v>
      </c>
      <c r="D211" t="str">
        <f>"ORLEANS"</f>
        <v>ORLEANS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16.02</v>
      </c>
      <c r="N211">
        <v>17.2</v>
      </c>
      <c r="O211">
        <v>0</v>
      </c>
    </row>
    <row r="212" spans="1:15" ht="15">
      <c r="A212" t="str">
        <f>"0081106936"</f>
        <v>0081106936</v>
      </c>
      <c r="B212" t="s">
        <v>27</v>
      </c>
      <c r="C212" t="str">
        <f t="shared" si="16"/>
        <v>16/01/01</v>
      </c>
      <c r="D212" t="str">
        <f>"ORLEANS"</f>
        <v>ORLEANS</v>
      </c>
      <c r="E212">
        <v>22.04</v>
      </c>
      <c r="F212">
        <v>22.7</v>
      </c>
      <c r="G212">
        <v>25.39</v>
      </c>
      <c r="H212">
        <v>249.77</v>
      </c>
      <c r="I212">
        <v>24.98</v>
      </c>
      <c r="J212">
        <v>24.38</v>
      </c>
      <c r="K212">
        <v>98.75</v>
      </c>
      <c r="L212">
        <v>98.97</v>
      </c>
      <c r="M212">
        <v>18.9</v>
      </c>
      <c r="N212">
        <v>21.41</v>
      </c>
      <c r="O212">
        <v>238.17</v>
      </c>
    </row>
    <row r="213" spans="1:15" ht="15">
      <c r="A213" t="str">
        <f>"0173391737"</f>
        <v>0173391737</v>
      </c>
      <c r="B213" t="s">
        <v>96</v>
      </c>
      <c r="C213" t="str">
        <f t="shared" si="16"/>
        <v>16/01/01</v>
      </c>
      <c r="D213" t="str">
        <f>"OSWEGO"</f>
        <v>OSWEGO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18.16</v>
      </c>
      <c r="N213">
        <v>0</v>
      </c>
      <c r="O213">
        <v>0</v>
      </c>
    </row>
    <row r="214" spans="1:15" ht="15">
      <c r="A214" t="str">
        <f>"0058802337"</f>
        <v>0058802337</v>
      </c>
      <c r="B214" t="s">
        <v>19</v>
      </c>
      <c r="C214" t="str">
        <f t="shared" si="16"/>
        <v>16/01/01</v>
      </c>
      <c r="D214" t="str">
        <f>"OSWEGO"</f>
        <v>OSWEGO</v>
      </c>
      <c r="E214">
        <v>23.79</v>
      </c>
      <c r="F214">
        <v>23.83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</row>
    <row r="215" spans="1:15" ht="15">
      <c r="A215" t="str">
        <f>"0105243737"</f>
        <v>0105243737</v>
      </c>
      <c r="B215" t="s">
        <v>55</v>
      </c>
      <c r="C215" t="str">
        <f t="shared" si="16"/>
        <v>16/01/01</v>
      </c>
      <c r="D215" t="str">
        <f>"OSWEGO"</f>
        <v>OSWEGO</v>
      </c>
      <c r="E215">
        <v>21.35</v>
      </c>
      <c r="F215">
        <v>20.62</v>
      </c>
      <c r="G215">
        <v>28.56</v>
      </c>
      <c r="H215">
        <v>284.75</v>
      </c>
      <c r="I215">
        <v>28.21</v>
      </c>
      <c r="J215">
        <v>28.31</v>
      </c>
      <c r="K215">
        <v>156.33</v>
      </c>
      <c r="L215">
        <v>0</v>
      </c>
      <c r="M215">
        <v>22.01</v>
      </c>
      <c r="N215">
        <v>24.45</v>
      </c>
      <c r="O215">
        <v>254.91</v>
      </c>
    </row>
    <row r="216" spans="1:15" ht="15">
      <c r="A216" t="str">
        <f>"0281324338"</f>
        <v>0281324338</v>
      </c>
      <c r="B216" t="s">
        <v>138</v>
      </c>
      <c r="C216" t="str">
        <f t="shared" si="16"/>
        <v>16/01/01</v>
      </c>
      <c r="D216" t="str">
        <f>"OTSEGO"</f>
        <v>OTSEGO</v>
      </c>
      <c r="E216">
        <v>24.29</v>
      </c>
      <c r="F216">
        <v>24.59</v>
      </c>
      <c r="G216">
        <v>0</v>
      </c>
      <c r="H216">
        <v>0</v>
      </c>
      <c r="I216">
        <v>0</v>
      </c>
      <c r="J216">
        <v>0</v>
      </c>
      <c r="K216">
        <v>81.53</v>
      </c>
      <c r="L216">
        <v>81.53</v>
      </c>
      <c r="M216">
        <v>0</v>
      </c>
      <c r="N216">
        <v>0</v>
      </c>
      <c r="O216">
        <v>0</v>
      </c>
    </row>
    <row r="217" spans="1:15" ht="15">
      <c r="A217" t="str">
        <f>"0268995838"</f>
        <v>0268995838</v>
      </c>
      <c r="B217" t="s">
        <v>137</v>
      </c>
      <c r="C217" t="str">
        <f t="shared" si="16"/>
        <v>16/01/01</v>
      </c>
      <c r="D217" t="str">
        <f>"OTSEGO"</f>
        <v>OTSEGO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169.01</v>
      </c>
      <c r="M217">
        <v>0</v>
      </c>
      <c r="N217">
        <v>0</v>
      </c>
      <c r="O217">
        <v>0</v>
      </c>
    </row>
    <row r="218" spans="1:15" ht="15">
      <c r="A218" t="str">
        <f>"0097412138"</f>
        <v>0097412138</v>
      </c>
      <c r="B218" t="s">
        <v>46</v>
      </c>
      <c r="C218" t="str">
        <f t="shared" si="16"/>
        <v>16/01/01</v>
      </c>
      <c r="D218" t="str">
        <f>"OTSEGO"</f>
        <v>OTSEGO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14.1</v>
      </c>
      <c r="N218">
        <v>16.09</v>
      </c>
      <c r="O218">
        <v>0</v>
      </c>
    </row>
    <row r="219" spans="1:15" ht="15">
      <c r="A219" t="str">
        <f>"0106073738"</f>
        <v>0106073738</v>
      </c>
      <c r="B219" t="s">
        <v>56</v>
      </c>
      <c r="C219" t="str">
        <f t="shared" si="16"/>
        <v>16/01/01</v>
      </c>
      <c r="D219" t="str">
        <f>"OTSEGO"</f>
        <v>OTSEGO</v>
      </c>
      <c r="E219">
        <v>20.13</v>
      </c>
      <c r="F219">
        <v>20.13</v>
      </c>
      <c r="G219">
        <v>0</v>
      </c>
      <c r="H219">
        <v>0</v>
      </c>
      <c r="I219">
        <v>20.28</v>
      </c>
      <c r="J219">
        <v>20.03</v>
      </c>
      <c r="K219">
        <v>80.36</v>
      </c>
      <c r="L219">
        <v>84.56</v>
      </c>
      <c r="M219">
        <v>0</v>
      </c>
      <c r="N219">
        <v>0</v>
      </c>
      <c r="O219">
        <v>0</v>
      </c>
    </row>
    <row r="220" spans="1:15" ht="15">
      <c r="A220" t="str">
        <f>"0170109138"</f>
        <v>0170109138</v>
      </c>
      <c r="B220" t="s">
        <v>91</v>
      </c>
      <c r="C220" t="str">
        <f t="shared" si="16"/>
        <v>16/01/01</v>
      </c>
      <c r="D220" t="str">
        <f>"OTSEGO"</f>
        <v>OTSEGO</v>
      </c>
      <c r="E220">
        <v>21.63</v>
      </c>
      <c r="F220">
        <v>21.58</v>
      </c>
      <c r="G220">
        <v>23.88</v>
      </c>
      <c r="H220">
        <v>0</v>
      </c>
      <c r="I220">
        <v>23.66</v>
      </c>
      <c r="J220">
        <v>22.79</v>
      </c>
      <c r="K220">
        <v>0</v>
      </c>
      <c r="L220">
        <v>0</v>
      </c>
      <c r="M220">
        <v>18.56</v>
      </c>
      <c r="N220">
        <v>20.15</v>
      </c>
      <c r="O220">
        <v>0</v>
      </c>
    </row>
    <row r="221" spans="1:15" ht="15">
      <c r="A221" t="str">
        <f>"0296748039"</f>
        <v>0296748039</v>
      </c>
      <c r="B221" t="s">
        <v>140</v>
      </c>
      <c r="C221" t="str">
        <f t="shared" si="16"/>
        <v>16/01/01</v>
      </c>
      <c r="D221" t="str">
        <f aca="true" t="shared" si="18" ref="D221:D228">"PUTNAM"</f>
        <v>PUTNAM</v>
      </c>
      <c r="E221">
        <v>19.85</v>
      </c>
      <c r="F221">
        <v>24.41</v>
      </c>
      <c r="G221">
        <v>19.85</v>
      </c>
      <c r="H221">
        <v>271.75</v>
      </c>
      <c r="I221">
        <v>19.85</v>
      </c>
      <c r="J221">
        <v>19.85</v>
      </c>
      <c r="K221">
        <v>93.55</v>
      </c>
      <c r="L221">
        <v>84.57</v>
      </c>
      <c r="M221">
        <v>19.24</v>
      </c>
      <c r="N221">
        <v>20.99</v>
      </c>
      <c r="O221">
        <v>0</v>
      </c>
    </row>
    <row r="222" spans="1:15" ht="15">
      <c r="A222" t="str">
        <f>"0128098239"</f>
        <v>0128098239</v>
      </c>
      <c r="B222" t="s">
        <v>69</v>
      </c>
      <c r="C222" t="str">
        <f t="shared" si="16"/>
        <v>16/01/01</v>
      </c>
      <c r="D222" t="str">
        <f t="shared" si="18"/>
        <v>PUTNAM</v>
      </c>
      <c r="E222">
        <v>27.46</v>
      </c>
      <c r="F222">
        <v>25</v>
      </c>
      <c r="G222">
        <v>28.81</v>
      </c>
      <c r="H222">
        <v>274.07</v>
      </c>
      <c r="I222">
        <v>25.1</v>
      </c>
      <c r="J222">
        <v>26.42</v>
      </c>
      <c r="K222">
        <v>163.05</v>
      </c>
      <c r="L222">
        <v>163.05</v>
      </c>
      <c r="M222">
        <v>20.87</v>
      </c>
      <c r="N222">
        <v>22.47</v>
      </c>
      <c r="O222">
        <v>255.11</v>
      </c>
    </row>
    <row r="223" spans="1:15" ht="15">
      <c r="A223" t="str">
        <f>"0099157539"</f>
        <v>0099157539</v>
      </c>
      <c r="B223" t="s">
        <v>51</v>
      </c>
      <c r="C223" t="str">
        <f t="shared" si="16"/>
        <v>16/01/01</v>
      </c>
      <c r="D223" t="str">
        <f t="shared" si="18"/>
        <v>PUTNAM</v>
      </c>
      <c r="E223">
        <v>15.13</v>
      </c>
      <c r="F223">
        <v>22.49</v>
      </c>
      <c r="G223">
        <v>32.21</v>
      </c>
      <c r="H223">
        <v>310.18</v>
      </c>
      <c r="I223">
        <v>32.57</v>
      </c>
      <c r="J223">
        <v>31.77</v>
      </c>
      <c r="K223">
        <v>141.77</v>
      </c>
      <c r="L223">
        <v>141.77</v>
      </c>
      <c r="M223">
        <v>19.15</v>
      </c>
      <c r="N223">
        <v>21.39</v>
      </c>
      <c r="O223">
        <v>311.15</v>
      </c>
    </row>
    <row r="224" spans="1:15" ht="15">
      <c r="A224" t="str">
        <f>"0099143339"</f>
        <v>0099143339</v>
      </c>
      <c r="B224" t="s">
        <v>49</v>
      </c>
      <c r="C224" t="str">
        <f t="shared" si="16"/>
        <v>16/01/01</v>
      </c>
      <c r="D224" t="str">
        <f t="shared" si="18"/>
        <v>PUTNAM</v>
      </c>
      <c r="E224">
        <v>21.78</v>
      </c>
      <c r="F224">
        <v>26.29</v>
      </c>
      <c r="G224">
        <v>29.72</v>
      </c>
      <c r="H224">
        <v>253.28</v>
      </c>
      <c r="I224">
        <v>31.06</v>
      </c>
      <c r="J224">
        <v>27.15</v>
      </c>
      <c r="K224">
        <v>169.13</v>
      </c>
      <c r="L224">
        <v>169.13</v>
      </c>
      <c r="M224">
        <v>25.98</v>
      </c>
      <c r="N224">
        <v>25.92</v>
      </c>
      <c r="O224">
        <v>308.18</v>
      </c>
    </row>
    <row r="225" spans="1:15" ht="15">
      <c r="A225" t="str">
        <f>"0240779839"</f>
        <v>0240779839</v>
      </c>
      <c r="B225" t="s">
        <v>132</v>
      </c>
      <c r="C225" t="str">
        <f t="shared" si="16"/>
        <v>16/01/01</v>
      </c>
      <c r="D225" t="str">
        <f t="shared" si="18"/>
        <v>PUTNAM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17.28</v>
      </c>
      <c r="N225">
        <v>18.88</v>
      </c>
      <c r="O225">
        <v>224.65</v>
      </c>
    </row>
    <row r="226" spans="1:15" ht="15">
      <c r="A226" t="str">
        <f>"0387725439"</f>
        <v>0387725439</v>
      </c>
      <c r="B226" t="s">
        <v>159</v>
      </c>
      <c r="C226" t="str">
        <f t="shared" si="16"/>
        <v>16/01/01</v>
      </c>
      <c r="D226" t="str">
        <f t="shared" si="18"/>
        <v>PUTNAM</v>
      </c>
      <c r="E226">
        <v>18.2</v>
      </c>
      <c r="F226">
        <v>18.22</v>
      </c>
      <c r="G226">
        <v>0</v>
      </c>
      <c r="H226">
        <v>183.93</v>
      </c>
      <c r="I226">
        <v>0</v>
      </c>
      <c r="J226">
        <v>0</v>
      </c>
      <c r="K226">
        <v>0</v>
      </c>
      <c r="L226">
        <v>97.04</v>
      </c>
      <c r="M226">
        <v>0</v>
      </c>
      <c r="N226">
        <v>0</v>
      </c>
      <c r="O226">
        <v>0</v>
      </c>
    </row>
    <row r="227" spans="1:15" ht="15">
      <c r="A227" t="str">
        <f>"0035491239"</f>
        <v>0035491239</v>
      </c>
      <c r="B227" t="s">
        <v>7</v>
      </c>
      <c r="C227" t="str">
        <f t="shared" si="16"/>
        <v>16/01/01</v>
      </c>
      <c r="D227" t="str">
        <f t="shared" si="18"/>
        <v>PUTNAM</v>
      </c>
      <c r="E227">
        <v>23.1</v>
      </c>
      <c r="F227">
        <v>23.21</v>
      </c>
      <c r="G227">
        <v>24.29</v>
      </c>
      <c r="H227">
        <v>253.94</v>
      </c>
      <c r="I227">
        <v>27.79</v>
      </c>
      <c r="J227">
        <v>27</v>
      </c>
      <c r="K227">
        <v>166.23</v>
      </c>
      <c r="L227">
        <v>166.23</v>
      </c>
      <c r="M227">
        <v>16.76</v>
      </c>
      <c r="N227">
        <v>18.41</v>
      </c>
      <c r="O227">
        <v>214.03</v>
      </c>
    </row>
    <row r="228" spans="1:15" ht="15">
      <c r="A228" t="str">
        <f>"0146034239"</f>
        <v>0146034239</v>
      </c>
      <c r="B228" t="s">
        <v>77</v>
      </c>
      <c r="C228" t="str">
        <f t="shared" si="16"/>
        <v>16/01/01</v>
      </c>
      <c r="D228" t="str">
        <f t="shared" si="18"/>
        <v>PUTNAM</v>
      </c>
      <c r="E228">
        <v>0</v>
      </c>
      <c r="F228">
        <v>18.75</v>
      </c>
      <c r="G228">
        <v>0</v>
      </c>
      <c r="H228">
        <v>208.63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</row>
    <row r="229" spans="1:15" ht="15">
      <c r="A229" t="str">
        <f>"0134883841"</f>
        <v>0134883841</v>
      </c>
      <c r="B229" t="s">
        <v>73</v>
      </c>
      <c r="C229" t="str">
        <f t="shared" si="16"/>
        <v>16/01/01</v>
      </c>
      <c r="D229" t="str">
        <f aca="true" t="shared" si="19" ref="D229:D237">"RENSSELAER"</f>
        <v>RENSSELAER</v>
      </c>
      <c r="E229">
        <v>18.67</v>
      </c>
      <c r="F229">
        <v>22.21</v>
      </c>
      <c r="G229">
        <v>20.03</v>
      </c>
      <c r="H229">
        <v>268.48</v>
      </c>
      <c r="I229">
        <v>19.31</v>
      </c>
      <c r="J229">
        <v>18.49</v>
      </c>
      <c r="K229">
        <v>93.13</v>
      </c>
      <c r="L229">
        <v>87.88</v>
      </c>
      <c r="M229">
        <v>16.72</v>
      </c>
      <c r="N229">
        <v>18.01</v>
      </c>
      <c r="O229">
        <v>0</v>
      </c>
    </row>
    <row r="230" spans="1:15" ht="15">
      <c r="A230" t="str">
        <f>"0106459341"</f>
        <v>0106459341</v>
      </c>
      <c r="B230" t="s">
        <v>57</v>
      </c>
      <c r="C230" t="str">
        <f t="shared" si="16"/>
        <v>16/01/01</v>
      </c>
      <c r="D230" t="str">
        <f t="shared" si="19"/>
        <v>RENSSELAER</v>
      </c>
      <c r="E230">
        <v>20.36</v>
      </c>
      <c r="F230">
        <v>20.39</v>
      </c>
      <c r="G230">
        <v>20.1</v>
      </c>
      <c r="H230">
        <v>0</v>
      </c>
      <c r="I230">
        <v>21.69</v>
      </c>
      <c r="J230">
        <v>20.81</v>
      </c>
      <c r="K230">
        <v>89.83</v>
      </c>
      <c r="L230">
        <v>89.83</v>
      </c>
      <c r="M230">
        <v>0</v>
      </c>
      <c r="N230">
        <v>0</v>
      </c>
      <c r="O230">
        <v>0</v>
      </c>
    </row>
    <row r="231" spans="1:15" ht="15">
      <c r="A231" t="str">
        <f>"0084696041"</f>
        <v>0084696041</v>
      </c>
      <c r="B231" t="s">
        <v>29</v>
      </c>
      <c r="C231" t="str">
        <f t="shared" si="16"/>
        <v>16/01/01</v>
      </c>
      <c r="D231" t="str">
        <f t="shared" si="19"/>
        <v>RENSSELAER</v>
      </c>
      <c r="E231">
        <v>16.08</v>
      </c>
      <c r="F231">
        <v>18.36</v>
      </c>
      <c r="G231">
        <v>23.87</v>
      </c>
      <c r="H231">
        <v>253.03</v>
      </c>
      <c r="I231">
        <v>25.86</v>
      </c>
      <c r="J231">
        <v>25.03</v>
      </c>
      <c r="K231">
        <v>102.83</v>
      </c>
      <c r="L231">
        <v>0</v>
      </c>
      <c r="M231">
        <v>21.98</v>
      </c>
      <c r="N231">
        <v>24.35</v>
      </c>
      <c r="O231">
        <v>225.34</v>
      </c>
    </row>
    <row r="232" spans="1:15" ht="15">
      <c r="A232" t="str">
        <f>"0099143341"</f>
        <v>0099143341</v>
      </c>
      <c r="B232" t="s">
        <v>49</v>
      </c>
      <c r="C232" t="str">
        <f t="shared" si="16"/>
        <v>16/01/01</v>
      </c>
      <c r="D232" t="str">
        <f t="shared" si="19"/>
        <v>RENSSELAER</v>
      </c>
      <c r="E232">
        <v>22.24</v>
      </c>
      <c r="F232">
        <v>22.31</v>
      </c>
      <c r="G232">
        <v>29.73</v>
      </c>
      <c r="H232">
        <v>326.1</v>
      </c>
      <c r="I232">
        <v>31.15</v>
      </c>
      <c r="J232">
        <v>27.17</v>
      </c>
      <c r="K232">
        <v>132.84</v>
      </c>
      <c r="L232">
        <v>166.91</v>
      </c>
      <c r="M232">
        <v>26.01</v>
      </c>
      <c r="N232">
        <v>25.53</v>
      </c>
      <c r="O232">
        <v>304.5</v>
      </c>
    </row>
    <row r="233" spans="1:15" ht="15">
      <c r="A233" t="str">
        <f>"0090869041"</f>
        <v>0090869041</v>
      </c>
      <c r="B233" t="s">
        <v>30</v>
      </c>
      <c r="C233" t="str">
        <f t="shared" si="16"/>
        <v>16/01/01</v>
      </c>
      <c r="D233" t="str">
        <f t="shared" si="19"/>
        <v>RENSSELAER</v>
      </c>
      <c r="E233">
        <v>18.27</v>
      </c>
      <c r="F233">
        <v>20.07</v>
      </c>
      <c r="G233">
        <v>25.37</v>
      </c>
      <c r="H233">
        <v>220.42</v>
      </c>
      <c r="I233">
        <v>26.63</v>
      </c>
      <c r="J233">
        <v>26.11</v>
      </c>
      <c r="K233">
        <v>123.48</v>
      </c>
      <c r="L233">
        <v>170.17</v>
      </c>
      <c r="M233">
        <v>20.46</v>
      </c>
      <c r="N233">
        <v>23.08</v>
      </c>
      <c r="O233">
        <v>0</v>
      </c>
    </row>
    <row r="234" spans="1:15" ht="15">
      <c r="A234" t="str">
        <f>"0200188941"</f>
        <v>0200188941</v>
      </c>
      <c r="B234" t="s">
        <v>116</v>
      </c>
      <c r="C234" t="str">
        <f t="shared" si="16"/>
        <v>16/01/01</v>
      </c>
      <c r="D234" t="str">
        <f t="shared" si="19"/>
        <v>RENSSELAER</v>
      </c>
      <c r="E234">
        <v>0</v>
      </c>
      <c r="F234">
        <v>27.17</v>
      </c>
      <c r="G234">
        <v>0</v>
      </c>
      <c r="H234">
        <v>0</v>
      </c>
      <c r="I234">
        <v>0</v>
      </c>
      <c r="J234">
        <v>0</v>
      </c>
      <c r="K234">
        <v>116.06</v>
      </c>
      <c r="L234">
        <v>116.05</v>
      </c>
      <c r="M234">
        <v>0</v>
      </c>
      <c r="N234">
        <v>0</v>
      </c>
      <c r="O234">
        <v>0</v>
      </c>
    </row>
    <row r="235" spans="1:15" ht="15">
      <c r="A235" t="str">
        <f>"0215044341"</f>
        <v>0215044341</v>
      </c>
      <c r="B235" t="s">
        <v>120</v>
      </c>
      <c r="C235" t="str">
        <f t="shared" si="16"/>
        <v>16/01/01</v>
      </c>
      <c r="D235" t="str">
        <f t="shared" si="19"/>
        <v>RENSSELAER</v>
      </c>
      <c r="E235">
        <v>22.63</v>
      </c>
      <c r="F235">
        <v>21.97</v>
      </c>
      <c r="G235">
        <v>0</v>
      </c>
      <c r="H235">
        <v>0</v>
      </c>
      <c r="I235">
        <v>0</v>
      </c>
      <c r="J235">
        <v>0</v>
      </c>
      <c r="K235">
        <v>91.61</v>
      </c>
      <c r="L235">
        <v>104.66</v>
      </c>
      <c r="M235">
        <v>0</v>
      </c>
      <c r="N235">
        <v>0</v>
      </c>
      <c r="O235">
        <v>0</v>
      </c>
    </row>
    <row r="236" spans="1:15" ht="15">
      <c r="A236" t="str">
        <f>"0217285641"</f>
        <v>0217285641</v>
      </c>
      <c r="B236" t="s">
        <v>123</v>
      </c>
      <c r="C236" t="str">
        <f t="shared" si="16"/>
        <v>16/01/01</v>
      </c>
      <c r="D236" t="str">
        <f t="shared" si="19"/>
        <v>RENSSELAER</v>
      </c>
      <c r="E236">
        <v>0</v>
      </c>
      <c r="F236">
        <v>21.41</v>
      </c>
      <c r="G236">
        <v>0</v>
      </c>
      <c r="H236">
        <v>0</v>
      </c>
      <c r="I236">
        <v>0</v>
      </c>
      <c r="J236">
        <v>0</v>
      </c>
      <c r="K236">
        <v>130.44</v>
      </c>
      <c r="L236">
        <v>95.79</v>
      </c>
      <c r="M236">
        <v>0</v>
      </c>
      <c r="N236">
        <v>0</v>
      </c>
      <c r="O236">
        <v>0</v>
      </c>
    </row>
    <row r="237" spans="1:15" ht="15">
      <c r="A237" t="str">
        <f>"0170109141"</f>
        <v>0170109141</v>
      </c>
      <c r="B237" t="s">
        <v>91</v>
      </c>
      <c r="C237" t="str">
        <f t="shared" si="16"/>
        <v>16/01/01</v>
      </c>
      <c r="D237" t="str">
        <f t="shared" si="19"/>
        <v>RENSSELAER</v>
      </c>
      <c r="E237">
        <v>21.56</v>
      </c>
      <c r="F237">
        <v>21.56</v>
      </c>
      <c r="G237">
        <v>0</v>
      </c>
      <c r="H237">
        <v>0</v>
      </c>
      <c r="I237">
        <v>23.95</v>
      </c>
      <c r="J237">
        <v>23.95</v>
      </c>
      <c r="K237">
        <v>85.09</v>
      </c>
      <c r="L237">
        <v>85.09</v>
      </c>
      <c r="M237">
        <v>18.47</v>
      </c>
      <c r="N237">
        <v>19.6</v>
      </c>
      <c r="O237">
        <v>308.46</v>
      </c>
    </row>
    <row r="238" spans="1:15" ht="15">
      <c r="A238" t="str">
        <f>"0128098243"</f>
        <v>0128098243</v>
      </c>
      <c r="B238" t="s">
        <v>69</v>
      </c>
      <c r="C238" t="str">
        <f t="shared" si="16"/>
        <v>16/01/01</v>
      </c>
      <c r="D238" t="str">
        <f aca="true" t="shared" si="20" ref="D238:D250">"ROCKLAND"</f>
        <v>ROCKLAND</v>
      </c>
      <c r="E238">
        <v>25.42</v>
      </c>
      <c r="F238">
        <v>25.4</v>
      </c>
      <c r="G238">
        <v>25.25</v>
      </c>
      <c r="H238">
        <v>302.04</v>
      </c>
      <c r="I238">
        <v>28.81</v>
      </c>
      <c r="J238">
        <v>27.28</v>
      </c>
      <c r="K238">
        <v>141.78</v>
      </c>
      <c r="L238">
        <v>141.78</v>
      </c>
      <c r="M238">
        <v>21.67</v>
      </c>
      <c r="N238">
        <v>29.65</v>
      </c>
      <c r="O238">
        <v>252.75</v>
      </c>
    </row>
    <row r="239" spans="1:15" ht="15">
      <c r="A239" t="str">
        <f>"0207459143"</f>
        <v>0207459143</v>
      </c>
      <c r="B239" t="s">
        <v>118</v>
      </c>
      <c r="C239" t="str">
        <f t="shared" si="16"/>
        <v>16/01/01</v>
      </c>
      <c r="D239" t="str">
        <f t="shared" si="20"/>
        <v>ROCKLAND</v>
      </c>
      <c r="E239">
        <v>0</v>
      </c>
      <c r="F239">
        <v>21.87</v>
      </c>
      <c r="G239">
        <v>0</v>
      </c>
      <c r="H239">
        <v>50.63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</row>
    <row r="240" spans="1:15" ht="15">
      <c r="A240" t="str">
        <f>"0090862743"</f>
        <v>0090862743</v>
      </c>
      <c r="B240" t="s">
        <v>35</v>
      </c>
      <c r="C240" t="str">
        <f t="shared" si="16"/>
        <v>16/01/01</v>
      </c>
      <c r="D240" t="str">
        <f t="shared" si="20"/>
        <v>ROCKLAND</v>
      </c>
      <c r="E240">
        <v>16.76</v>
      </c>
      <c r="F240">
        <v>16.75</v>
      </c>
      <c r="G240">
        <v>0</v>
      </c>
      <c r="H240">
        <v>201.03</v>
      </c>
      <c r="I240">
        <v>0</v>
      </c>
      <c r="J240">
        <v>0</v>
      </c>
      <c r="K240">
        <v>0</v>
      </c>
      <c r="L240">
        <v>0</v>
      </c>
      <c r="M240">
        <v>16.07</v>
      </c>
      <c r="N240">
        <v>0</v>
      </c>
      <c r="O240">
        <v>219.68</v>
      </c>
    </row>
    <row r="241" spans="1:15" ht="15">
      <c r="A241" t="str">
        <f>"0099143343"</f>
        <v>0099143343</v>
      </c>
      <c r="B241" t="s">
        <v>49</v>
      </c>
      <c r="C241" t="str">
        <f t="shared" si="16"/>
        <v>16/01/01</v>
      </c>
      <c r="D241" t="str">
        <f t="shared" si="20"/>
        <v>ROCKLAND</v>
      </c>
      <c r="E241">
        <v>27.08</v>
      </c>
      <c r="F241">
        <v>27.81</v>
      </c>
      <c r="G241">
        <v>35.49</v>
      </c>
      <c r="H241">
        <v>334.34</v>
      </c>
      <c r="I241">
        <v>38.32</v>
      </c>
      <c r="J241">
        <v>31.22</v>
      </c>
      <c r="K241">
        <v>181.01</v>
      </c>
      <c r="L241">
        <v>181.01</v>
      </c>
      <c r="M241">
        <v>27.91</v>
      </c>
      <c r="N241">
        <v>29.37</v>
      </c>
      <c r="O241">
        <v>346.08</v>
      </c>
    </row>
    <row r="242" spans="1:15" ht="15">
      <c r="A242" t="str">
        <f>"0298477443"</f>
        <v>0298477443</v>
      </c>
      <c r="B242" t="s">
        <v>144</v>
      </c>
      <c r="C242" t="str">
        <f t="shared" si="16"/>
        <v>16/01/01</v>
      </c>
      <c r="D242" t="str">
        <f t="shared" si="20"/>
        <v>ROCKLAND</v>
      </c>
      <c r="E242">
        <v>19.88</v>
      </c>
      <c r="F242">
        <v>19.98</v>
      </c>
      <c r="G242">
        <v>21.47</v>
      </c>
      <c r="H242">
        <v>261.54</v>
      </c>
      <c r="I242">
        <v>20.38</v>
      </c>
      <c r="J242">
        <v>18.48</v>
      </c>
      <c r="K242">
        <v>90.51</v>
      </c>
      <c r="L242">
        <v>0</v>
      </c>
      <c r="M242">
        <v>20.4</v>
      </c>
      <c r="N242">
        <v>20.4</v>
      </c>
      <c r="O242">
        <v>243.07</v>
      </c>
    </row>
    <row r="243" spans="1:15" ht="15">
      <c r="A243" t="str">
        <f>"0393790043"</f>
        <v>0393790043</v>
      </c>
      <c r="B243" t="s">
        <v>160</v>
      </c>
      <c r="C243" t="str">
        <f t="shared" si="16"/>
        <v>16/01/01</v>
      </c>
      <c r="D243" t="str">
        <f t="shared" si="20"/>
        <v>ROCKLAND</v>
      </c>
      <c r="E243">
        <v>19.34</v>
      </c>
      <c r="F243">
        <v>19.62</v>
      </c>
      <c r="G243">
        <v>24.59</v>
      </c>
      <c r="H243">
        <v>265.9</v>
      </c>
      <c r="I243">
        <v>0</v>
      </c>
      <c r="J243">
        <v>0</v>
      </c>
      <c r="K243">
        <v>97.54</v>
      </c>
      <c r="L243">
        <v>97.54</v>
      </c>
      <c r="M243">
        <v>18.32</v>
      </c>
      <c r="N243">
        <v>0</v>
      </c>
      <c r="O243">
        <v>0</v>
      </c>
    </row>
    <row r="244" spans="1:15" ht="15">
      <c r="A244" t="str">
        <f>"0221745843"</f>
        <v>0221745843</v>
      </c>
      <c r="B244" t="s">
        <v>125</v>
      </c>
      <c r="C244" t="str">
        <f t="shared" si="16"/>
        <v>16/01/01</v>
      </c>
      <c r="D244" t="str">
        <f t="shared" si="20"/>
        <v>ROCKLAND</v>
      </c>
      <c r="E244">
        <v>24.14</v>
      </c>
      <c r="F244">
        <v>22.95</v>
      </c>
      <c r="G244">
        <v>28.48</v>
      </c>
      <c r="H244">
        <v>264.77</v>
      </c>
      <c r="I244">
        <v>28.12</v>
      </c>
      <c r="J244">
        <v>27.39</v>
      </c>
      <c r="K244">
        <v>139.54</v>
      </c>
      <c r="L244">
        <v>139.54</v>
      </c>
      <c r="M244">
        <v>21.26</v>
      </c>
      <c r="N244">
        <v>23.77</v>
      </c>
      <c r="O244">
        <v>233.5</v>
      </c>
    </row>
    <row r="245" spans="1:15" ht="15">
      <c r="A245" t="str">
        <f>"0177190243"</f>
        <v>0177190243</v>
      </c>
      <c r="B245" t="s">
        <v>102</v>
      </c>
      <c r="C245" t="str">
        <f t="shared" si="16"/>
        <v>16/01/01</v>
      </c>
      <c r="D245" t="str">
        <f t="shared" si="20"/>
        <v>ROCKLAND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18.41</v>
      </c>
      <c r="N245">
        <v>0</v>
      </c>
      <c r="O245">
        <v>0</v>
      </c>
    </row>
    <row r="246" spans="1:15" ht="15">
      <c r="A246" t="str">
        <f>"0106927243"</f>
        <v>0106927243</v>
      </c>
      <c r="B246" t="s">
        <v>58</v>
      </c>
      <c r="C246" t="str">
        <f t="shared" si="16"/>
        <v>16/01/01</v>
      </c>
      <c r="D246" t="str">
        <f t="shared" si="20"/>
        <v>ROCKLAND</v>
      </c>
      <c r="E246">
        <v>21.02</v>
      </c>
      <c r="F246">
        <v>21.23</v>
      </c>
      <c r="G246">
        <v>0</v>
      </c>
      <c r="H246">
        <v>0</v>
      </c>
      <c r="I246">
        <v>23.91</v>
      </c>
      <c r="J246">
        <v>23.91</v>
      </c>
      <c r="K246">
        <v>95.92</v>
      </c>
      <c r="L246">
        <v>99.05</v>
      </c>
      <c r="M246">
        <v>21.99</v>
      </c>
      <c r="N246">
        <v>21.89</v>
      </c>
      <c r="O246">
        <v>0</v>
      </c>
    </row>
    <row r="247" spans="1:15" ht="15">
      <c r="A247" t="str">
        <f>"0166603143"</f>
        <v>0166603143</v>
      </c>
      <c r="B247" t="s">
        <v>89</v>
      </c>
      <c r="C247" t="str">
        <f t="shared" si="16"/>
        <v>16/01/01</v>
      </c>
      <c r="D247" t="str">
        <f t="shared" si="20"/>
        <v>ROCKLAND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18.7</v>
      </c>
      <c r="N247">
        <v>0</v>
      </c>
      <c r="O247">
        <v>0</v>
      </c>
    </row>
    <row r="248" spans="1:15" ht="15">
      <c r="A248" t="str">
        <f>"0235730843"</f>
        <v>0235730843</v>
      </c>
      <c r="B248" t="s">
        <v>128</v>
      </c>
      <c r="C248" t="str">
        <f t="shared" si="16"/>
        <v>16/01/01</v>
      </c>
      <c r="D248" t="str">
        <f t="shared" si="20"/>
        <v>ROCKLAND</v>
      </c>
      <c r="E248">
        <v>19.6</v>
      </c>
      <c r="F248">
        <v>21.53</v>
      </c>
      <c r="G248">
        <v>29.37</v>
      </c>
      <c r="H248">
        <v>253.26</v>
      </c>
      <c r="I248">
        <v>29.88</v>
      </c>
      <c r="J248">
        <v>31.28</v>
      </c>
      <c r="K248">
        <v>0</v>
      </c>
      <c r="L248">
        <v>0</v>
      </c>
      <c r="M248">
        <v>23.78</v>
      </c>
      <c r="N248">
        <v>26.16</v>
      </c>
      <c r="O248">
        <v>269.13</v>
      </c>
    </row>
    <row r="249" spans="1:15" ht="15">
      <c r="A249" t="str">
        <f>"0035491243"</f>
        <v>0035491243</v>
      </c>
      <c r="B249" t="s">
        <v>7</v>
      </c>
      <c r="C249" t="str">
        <f t="shared" si="16"/>
        <v>16/01/01</v>
      </c>
      <c r="D249" t="str">
        <f t="shared" si="20"/>
        <v>ROCKLAND</v>
      </c>
      <c r="E249">
        <v>24.03</v>
      </c>
      <c r="F249">
        <v>24.64</v>
      </c>
      <c r="G249">
        <v>30.12</v>
      </c>
      <c r="H249">
        <v>297.11</v>
      </c>
      <c r="I249">
        <v>26.1</v>
      </c>
      <c r="J249">
        <v>26.1</v>
      </c>
      <c r="K249">
        <v>154.76</v>
      </c>
      <c r="L249">
        <v>154.76</v>
      </c>
      <c r="M249">
        <v>27.21</v>
      </c>
      <c r="N249">
        <v>27.77</v>
      </c>
      <c r="O249">
        <v>338.31</v>
      </c>
    </row>
    <row r="250" spans="1:15" ht="15">
      <c r="A250" t="str">
        <f>"0090863643"</f>
        <v>0090863643</v>
      </c>
      <c r="B250" t="s">
        <v>22</v>
      </c>
      <c r="C250" t="str">
        <f t="shared" si="16"/>
        <v>16/01/01</v>
      </c>
      <c r="D250" t="str">
        <f t="shared" si="20"/>
        <v>ROCKLAND</v>
      </c>
      <c r="E250">
        <v>23.48</v>
      </c>
      <c r="F250">
        <v>23.86</v>
      </c>
      <c r="G250">
        <v>25.21</v>
      </c>
      <c r="H250">
        <v>250.05</v>
      </c>
      <c r="I250">
        <v>23.35</v>
      </c>
      <c r="J250">
        <v>23.77</v>
      </c>
      <c r="K250">
        <v>0</v>
      </c>
      <c r="L250">
        <v>0</v>
      </c>
      <c r="M250">
        <v>21.34</v>
      </c>
      <c r="N250">
        <v>20.87</v>
      </c>
      <c r="O250">
        <v>233.44</v>
      </c>
    </row>
    <row r="251" spans="1:15" ht="15">
      <c r="A251" t="str">
        <f>"0134883845"</f>
        <v>0134883845</v>
      </c>
      <c r="B251" t="s">
        <v>73</v>
      </c>
      <c r="C251" t="str">
        <f t="shared" si="16"/>
        <v>16/01/01</v>
      </c>
      <c r="D251" t="str">
        <f aca="true" t="shared" si="21" ref="D251:D261">"SARATOGA"</f>
        <v>SARATOGA</v>
      </c>
      <c r="E251">
        <v>18.92</v>
      </c>
      <c r="F251">
        <v>21.88</v>
      </c>
      <c r="G251">
        <v>20.09</v>
      </c>
      <c r="H251">
        <v>254.41</v>
      </c>
      <c r="I251">
        <v>19.39</v>
      </c>
      <c r="J251">
        <v>18.52</v>
      </c>
      <c r="K251">
        <v>91.33</v>
      </c>
      <c r="L251">
        <v>80.27</v>
      </c>
      <c r="M251">
        <v>16.75</v>
      </c>
      <c r="N251">
        <v>18.35</v>
      </c>
      <c r="O251">
        <v>0</v>
      </c>
    </row>
    <row r="252" spans="1:15" ht="15">
      <c r="A252" t="str">
        <f>"0106459345"</f>
        <v>0106459345</v>
      </c>
      <c r="B252" t="s">
        <v>57</v>
      </c>
      <c r="C252" t="str">
        <f t="shared" si="16"/>
        <v>16/01/01</v>
      </c>
      <c r="D252" t="str">
        <f t="shared" si="21"/>
        <v>SARATOGA</v>
      </c>
      <c r="E252">
        <v>22.99</v>
      </c>
      <c r="F252">
        <v>20.12</v>
      </c>
      <c r="G252">
        <v>20.24</v>
      </c>
      <c r="H252">
        <v>0</v>
      </c>
      <c r="I252">
        <v>19.6</v>
      </c>
      <c r="J252">
        <v>18.73</v>
      </c>
      <c r="K252">
        <v>86.72</v>
      </c>
      <c r="L252">
        <v>105.15</v>
      </c>
      <c r="M252">
        <v>0</v>
      </c>
      <c r="N252">
        <v>0</v>
      </c>
      <c r="O252">
        <v>0</v>
      </c>
    </row>
    <row r="253" spans="1:15" ht="15">
      <c r="A253" t="str">
        <f>"0084696045"</f>
        <v>0084696045</v>
      </c>
      <c r="B253" t="s">
        <v>29</v>
      </c>
      <c r="C253" t="str">
        <f t="shared" si="16"/>
        <v>16/01/01</v>
      </c>
      <c r="D253" t="str">
        <f t="shared" si="21"/>
        <v>SARATOGA</v>
      </c>
      <c r="E253">
        <v>15.96</v>
      </c>
      <c r="F253">
        <v>18.71</v>
      </c>
      <c r="G253">
        <v>23.99</v>
      </c>
      <c r="H253">
        <v>235.25</v>
      </c>
      <c r="I253">
        <v>25.78</v>
      </c>
      <c r="J253">
        <v>24.91</v>
      </c>
      <c r="K253">
        <v>0</v>
      </c>
      <c r="L253">
        <v>0</v>
      </c>
      <c r="M253">
        <v>21.84</v>
      </c>
      <c r="N253">
        <v>24.2</v>
      </c>
      <c r="O253">
        <v>221.29</v>
      </c>
    </row>
    <row r="254" spans="1:15" ht="15">
      <c r="A254" t="str">
        <f>"0099143345"</f>
        <v>0099143345</v>
      </c>
      <c r="B254" t="s">
        <v>49</v>
      </c>
      <c r="C254" t="str">
        <f t="shared" si="16"/>
        <v>16/01/01</v>
      </c>
      <c r="D254" t="str">
        <f t="shared" si="21"/>
        <v>SARATOGA</v>
      </c>
      <c r="E254">
        <v>25.96</v>
      </c>
      <c r="F254">
        <v>26.37</v>
      </c>
      <c r="G254">
        <v>29.91</v>
      </c>
      <c r="H254">
        <v>326.1</v>
      </c>
      <c r="I254">
        <v>31.18</v>
      </c>
      <c r="J254">
        <v>27.17</v>
      </c>
      <c r="K254">
        <v>170.17</v>
      </c>
      <c r="L254">
        <v>170.17</v>
      </c>
      <c r="M254">
        <v>18.25</v>
      </c>
      <c r="N254">
        <v>25.53</v>
      </c>
      <c r="O254">
        <v>339.37</v>
      </c>
    </row>
    <row r="255" spans="1:15" ht="15">
      <c r="A255" t="str">
        <f>"0090869045"</f>
        <v>0090869045</v>
      </c>
      <c r="B255" t="s">
        <v>30</v>
      </c>
      <c r="C255" t="str">
        <f t="shared" si="16"/>
        <v>16/01/01</v>
      </c>
      <c r="D255" t="str">
        <f t="shared" si="21"/>
        <v>SARATOGA</v>
      </c>
      <c r="E255">
        <v>19.91</v>
      </c>
      <c r="F255">
        <v>22.32</v>
      </c>
      <c r="G255">
        <v>19.91</v>
      </c>
      <c r="H255">
        <v>255.16</v>
      </c>
      <c r="I255">
        <v>23.87</v>
      </c>
      <c r="J255">
        <v>25.54</v>
      </c>
      <c r="K255">
        <v>140.23</v>
      </c>
      <c r="L255">
        <v>128.1</v>
      </c>
      <c r="M255">
        <v>20.45</v>
      </c>
      <c r="N255">
        <v>22.95</v>
      </c>
      <c r="O255">
        <v>0</v>
      </c>
    </row>
    <row r="256" spans="1:15" ht="15">
      <c r="A256" t="str">
        <f>"0240779845"</f>
        <v>0240779845</v>
      </c>
      <c r="B256" t="s">
        <v>132</v>
      </c>
      <c r="C256" t="str">
        <f t="shared" si="16"/>
        <v>16/01/01</v>
      </c>
      <c r="D256" t="str">
        <f t="shared" si="21"/>
        <v>SARATOGA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18.24</v>
      </c>
      <c r="N256">
        <v>19.77</v>
      </c>
      <c r="O256">
        <v>242.06</v>
      </c>
    </row>
    <row r="257" spans="1:15" ht="15">
      <c r="A257" t="str">
        <f>"0188056045"</f>
        <v>0188056045</v>
      </c>
      <c r="B257" t="s">
        <v>113</v>
      </c>
      <c r="C257" t="str">
        <f t="shared" si="16"/>
        <v>16/01/01</v>
      </c>
      <c r="D257" t="str">
        <f t="shared" si="21"/>
        <v>SARATOGA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16.45</v>
      </c>
      <c r="N257">
        <v>17.31</v>
      </c>
      <c r="O257">
        <v>216.74</v>
      </c>
    </row>
    <row r="258" spans="1:15" ht="15">
      <c r="A258" t="str">
        <f>"0215044345"</f>
        <v>0215044345</v>
      </c>
      <c r="B258" t="s">
        <v>120</v>
      </c>
      <c r="C258" t="str">
        <f t="shared" si="16"/>
        <v>16/01/01</v>
      </c>
      <c r="D258" t="str">
        <f t="shared" si="21"/>
        <v>SARATOGA</v>
      </c>
      <c r="E258">
        <v>22</v>
      </c>
      <c r="F258">
        <v>22.08</v>
      </c>
      <c r="G258">
        <v>0</v>
      </c>
      <c r="H258">
        <v>0</v>
      </c>
      <c r="I258">
        <v>0</v>
      </c>
      <c r="J258">
        <v>0</v>
      </c>
      <c r="K258">
        <v>116.39</v>
      </c>
      <c r="L258">
        <v>95.6</v>
      </c>
      <c r="M258">
        <v>0</v>
      </c>
      <c r="N258">
        <v>0</v>
      </c>
      <c r="O258">
        <v>0</v>
      </c>
    </row>
    <row r="259" spans="1:15" ht="15">
      <c r="A259" t="str">
        <f>"0035807645"</f>
        <v>0035807645</v>
      </c>
      <c r="B259" t="s">
        <v>9</v>
      </c>
      <c r="C259" t="str">
        <f t="shared" si="16"/>
        <v>16/01/01</v>
      </c>
      <c r="D259" t="str">
        <f t="shared" si="21"/>
        <v>SARATOGA</v>
      </c>
      <c r="E259">
        <v>21.95</v>
      </c>
      <c r="F259">
        <v>22.06</v>
      </c>
      <c r="G259">
        <v>0</v>
      </c>
      <c r="H259">
        <v>0</v>
      </c>
      <c r="I259">
        <v>0</v>
      </c>
      <c r="J259">
        <v>0</v>
      </c>
      <c r="K259">
        <v>151.97</v>
      </c>
      <c r="L259">
        <v>151.42</v>
      </c>
      <c r="M259">
        <v>17.73</v>
      </c>
      <c r="N259">
        <v>19.66</v>
      </c>
      <c r="O259">
        <v>0</v>
      </c>
    </row>
    <row r="260" spans="1:15" ht="15">
      <c r="A260" t="str">
        <f>"0217285645"</f>
        <v>0217285645</v>
      </c>
      <c r="B260" t="s">
        <v>123</v>
      </c>
      <c r="C260" t="str">
        <f t="shared" si="16"/>
        <v>16/01/01</v>
      </c>
      <c r="D260" t="str">
        <f t="shared" si="21"/>
        <v>SARATOGA</v>
      </c>
      <c r="E260">
        <v>21.51</v>
      </c>
      <c r="F260">
        <v>22.25</v>
      </c>
      <c r="G260">
        <v>0</v>
      </c>
      <c r="H260">
        <v>0</v>
      </c>
      <c r="I260">
        <v>0</v>
      </c>
      <c r="J260">
        <v>0</v>
      </c>
      <c r="K260">
        <v>112.69</v>
      </c>
      <c r="L260">
        <v>95.95</v>
      </c>
      <c r="M260">
        <v>0</v>
      </c>
      <c r="N260">
        <v>0</v>
      </c>
      <c r="O260">
        <v>0</v>
      </c>
    </row>
    <row r="261" spans="1:15" ht="15">
      <c r="A261" t="str">
        <f>"0170109145"</f>
        <v>0170109145</v>
      </c>
      <c r="B261" t="s">
        <v>91</v>
      </c>
      <c r="C261" t="str">
        <f t="shared" si="16"/>
        <v>16/01/01</v>
      </c>
      <c r="D261" t="str">
        <f t="shared" si="21"/>
        <v>SARATOGA</v>
      </c>
      <c r="E261">
        <v>21.73</v>
      </c>
      <c r="F261">
        <v>21.76</v>
      </c>
      <c r="G261">
        <v>22.96</v>
      </c>
      <c r="H261">
        <v>369.04</v>
      </c>
      <c r="I261">
        <v>22.96</v>
      </c>
      <c r="J261">
        <v>22.96</v>
      </c>
      <c r="K261">
        <v>85.09</v>
      </c>
      <c r="L261">
        <v>85.09</v>
      </c>
      <c r="M261">
        <v>18.51</v>
      </c>
      <c r="N261">
        <v>19.89</v>
      </c>
      <c r="O261">
        <v>300.16</v>
      </c>
    </row>
    <row r="262" spans="1:15" ht="15">
      <c r="A262" t="str">
        <f>"0134883846"</f>
        <v>0134883846</v>
      </c>
      <c r="B262" t="s">
        <v>73</v>
      </c>
      <c r="C262" t="str">
        <f t="shared" si="16"/>
        <v>16/01/01</v>
      </c>
      <c r="D262" t="str">
        <f aca="true" t="shared" si="22" ref="D262:D272">"SCHENECTADY"</f>
        <v>SCHENECTADY</v>
      </c>
      <c r="E262">
        <v>20.78</v>
      </c>
      <c r="F262">
        <v>21.91</v>
      </c>
      <c r="G262">
        <v>20.33</v>
      </c>
      <c r="H262">
        <v>252.23</v>
      </c>
      <c r="I262">
        <v>19.64</v>
      </c>
      <c r="J262">
        <v>18.87</v>
      </c>
      <c r="K262">
        <v>89.93</v>
      </c>
      <c r="L262">
        <v>86.72</v>
      </c>
      <c r="M262">
        <v>17.28</v>
      </c>
      <c r="N262">
        <v>18.88</v>
      </c>
      <c r="O262">
        <v>0</v>
      </c>
    </row>
    <row r="263" spans="1:15" ht="15">
      <c r="A263" t="str">
        <f>"0084696046"</f>
        <v>0084696046</v>
      </c>
      <c r="B263" t="s">
        <v>29</v>
      </c>
      <c r="C263" t="str">
        <f aca="true" t="shared" si="23" ref="C263:C326">"16/01/01"</f>
        <v>16/01/01</v>
      </c>
      <c r="D263" t="str">
        <f t="shared" si="22"/>
        <v>SCHENECTADY</v>
      </c>
      <c r="E263">
        <v>16.37</v>
      </c>
      <c r="F263">
        <v>15.64</v>
      </c>
      <c r="G263">
        <v>23.86</v>
      </c>
      <c r="H263">
        <v>237.97</v>
      </c>
      <c r="I263">
        <v>25.85</v>
      </c>
      <c r="J263">
        <v>25.02</v>
      </c>
      <c r="K263">
        <v>0</v>
      </c>
      <c r="L263">
        <v>0</v>
      </c>
      <c r="M263">
        <v>17.34</v>
      </c>
      <c r="N263">
        <v>24.34</v>
      </c>
      <c r="O263">
        <v>224.91</v>
      </c>
    </row>
    <row r="264" spans="1:15" ht="15">
      <c r="A264" t="str">
        <f>"0099143346"</f>
        <v>0099143346</v>
      </c>
      <c r="B264" t="s">
        <v>49</v>
      </c>
      <c r="C264" t="str">
        <f t="shared" si="23"/>
        <v>16/01/01</v>
      </c>
      <c r="D264" t="str">
        <f t="shared" si="22"/>
        <v>SCHENECTADY</v>
      </c>
      <c r="E264">
        <v>21.95</v>
      </c>
      <c r="F264">
        <v>22.56</v>
      </c>
      <c r="G264">
        <v>29.93</v>
      </c>
      <c r="H264">
        <v>326.1</v>
      </c>
      <c r="I264">
        <v>31.21</v>
      </c>
      <c r="J264">
        <v>27.17</v>
      </c>
      <c r="K264">
        <v>143.32</v>
      </c>
      <c r="L264">
        <v>170.17</v>
      </c>
      <c r="M264">
        <v>18.33</v>
      </c>
      <c r="N264">
        <v>26.49</v>
      </c>
      <c r="O264">
        <v>314.3</v>
      </c>
    </row>
    <row r="265" spans="1:15" ht="15">
      <c r="A265" t="str">
        <f>"0090869046"</f>
        <v>0090869046</v>
      </c>
      <c r="B265" t="s">
        <v>30</v>
      </c>
      <c r="C265" t="str">
        <f t="shared" si="23"/>
        <v>16/01/01</v>
      </c>
      <c r="D265" t="str">
        <f t="shared" si="22"/>
        <v>SCHENECTADY</v>
      </c>
      <c r="E265">
        <v>17.89</v>
      </c>
      <c r="F265">
        <v>19.45</v>
      </c>
      <c r="G265">
        <v>19.88</v>
      </c>
      <c r="H265">
        <v>284.85</v>
      </c>
      <c r="I265">
        <v>24.86</v>
      </c>
      <c r="J265">
        <v>25.74</v>
      </c>
      <c r="K265">
        <v>123.95</v>
      </c>
      <c r="L265">
        <v>147.36</v>
      </c>
      <c r="M265">
        <v>21.48</v>
      </c>
      <c r="N265">
        <v>23.34</v>
      </c>
      <c r="O265">
        <v>0</v>
      </c>
    </row>
    <row r="266" spans="1:15" ht="15">
      <c r="A266" t="str">
        <f>"0240779846"</f>
        <v>0240779846</v>
      </c>
      <c r="B266" t="s">
        <v>132</v>
      </c>
      <c r="C266" t="str">
        <f t="shared" si="23"/>
        <v>16/01/01</v>
      </c>
      <c r="D266" t="str">
        <f t="shared" si="22"/>
        <v>SCHENECTADY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17.67</v>
      </c>
      <c r="N266">
        <v>21.12</v>
      </c>
      <c r="O266">
        <v>238.12</v>
      </c>
    </row>
    <row r="267" spans="1:15" ht="15">
      <c r="A267" t="str">
        <f>"0188056046"</f>
        <v>0188056046</v>
      </c>
      <c r="B267" t="s">
        <v>113</v>
      </c>
      <c r="C267" t="str">
        <f t="shared" si="23"/>
        <v>16/01/01</v>
      </c>
      <c r="D267" t="str">
        <f t="shared" si="22"/>
        <v>SCHENECTADY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16.39</v>
      </c>
      <c r="N267">
        <v>16.66</v>
      </c>
      <c r="O267">
        <v>213.12</v>
      </c>
    </row>
    <row r="268" spans="1:15" ht="15">
      <c r="A268" t="str">
        <f>"0215044346"</f>
        <v>0215044346</v>
      </c>
      <c r="B268" t="s">
        <v>122</v>
      </c>
      <c r="C268" t="str">
        <f t="shared" si="23"/>
        <v>16/01/01</v>
      </c>
      <c r="D268" t="str">
        <f t="shared" si="22"/>
        <v>SCHENECTADY</v>
      </c>
      <c r="E268">
        <v>22.19</v>
      </c>
      <c r="F268">
        <v>22.45</v>
      </c>
      <c r="G268">
        <v>0</v>
      </c>
      <c r="H268">
        <v>0</v>
      </c>
      <c r="I268">
        <v>0</v>
      </c>
      <c r="J268">
        <v>0</v>
      </c>
      <c r="K268">
        <v>114.21</v>
      </c>
      <c r="L268">
        <v>102.85</v>
      </c>
      <c r="M268">
        <v>0</v>
      </c>
      <c r="N268">
        <v>0</v>
      </c>
      <c r="O268">
        <v>0</v>
      </c>
    </row>
    <row r="269" spans="1:15" ht="15">
      <c r="A269" t="str">
        <f>"0055587146"</f>
        <v>0055587146</v>
      </c>
      <c r="B269" t="s">
        <v>16</v>
      </c>
      <c r="C269" t="str">
        <f t="shared" si="23"/>
        <v>16/01/01</v>
      </c>
      <c r="D269" t="str">
        <f t="shared" si="22"/>
        <v>SCHENECTADY</v>
      </c>
      <c r="E269">
        <v>21.49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</row>
    <row r="270" spans="1:15" ht="15">
      <c r="A270" t="str">
        <f>"0158266346"</f>
        <v>0158266346</v>
      </c>
      <c r="B270" t="s">
        <v>84</v>
      </c>
      <c r="C270" t="str">
        <f t="shared" si="23"/>
        <v>16/01/01</v>
      </c>
      <c r="D270" t="str">
        <f t="shared" si="22"/>
        <v>SCHENECTADY</v>
      </c>
      <c r="E270">
        <v>20.45</v>
      </c>
      <c r="F270">
        <v>20.48</v>
      </c>
      <c r="G270">
        <v>22.31</v>
      </c>
      <c r="H270">
        <v>237.94</v>
      </c>
      <c r="I270">
        <v>0</v>
      </c>
      <c r="J270">
        <v>0</v>
      </c>
      <c r="K270">
        <v>87.03</v>
      </c>
      <c r="L270">
        <v>88.05</v>
      </c>
      <c r="M270">
        <v>0</v>
      </c>
      <c r="N270">
        <v>0</v>
      </c>
      <c r="O270">
        <v>0</v>
      </c>
    </row>
    <row r="271" spans="1:15" ht="15">
      <c r="A271" t="str">
        <f>"0217285646"</f>
        <v>0217285646</v>
      </c>
      <c r="B271" t="s">
        <v>123</v>
      </c>
      <c r="C271" t="str">
        <f t="shared" si="23"/>
        <v>16/01/01</v>
      </c>
      <c r="D271" t="str">
        <f t="shared" si="22"/>
        <v>SCHENECTADY</v>
      </c>
      <c r="E271">
        <v>21.37</v>
      </c>
      <c r="F271">
        <v>21.38</v>
      </c>
      <c r="G271">
        <v>0</v>
      </c>
      <c r="H271">
        <v>0</v>
      </c>
      <c r="I271">
        <v>0</v>
      </c>
      <c r="J271">
        <v>0</v>
      </c>
      <c r="K271">
        <v>130.09</v>
      </c>
      <c r="L271">
        <v>95.19</v>
      </c>
      <c r="M271">
        <v>0</v>
      </c>
      <c r="N271">
        <v>0</v>
      </c>
      <c r="O271">
        <v>0</v>
      </c>
    </row>
    <row r="272" spans="1:15" ht="15">
      <c r="A272" t="str">
        <f>"0170109146"</f>
        <v>0170109146</v>
      </c>
      <c r="B272" t="s">
        <v>91</v>
      </c>
      <c r="C272" t="str">
        <f t="shared" si="23"/>
        <v>16/01/01</v>
      </c>
      <c r="D272" t="str">
        <f t="shared" si="22"/>
        <v>SCHENECTADY</v>
      </c>
      <c r="E272">
        <v>21.58</v>
      </c>
      <c r="F272">
        <v>21.61</v>
      </c>
      <c r="G272">
        <v>23.13</v>
      </c>
      <c r="H272">
        <v>369.04</v>
      </c>
      <c r="I272">
        <v>23.13</v>
      </c>
      <c r="J272">
        <v>23.13</v>
      </c>
      <c r="K272">
        <v>85.09</v>
      </c>
      <c r="L272">
        <v>85.09</v>
      </c>
      <c r="M272">
        <v>18.56</v>
      </c>
      <c r="N272">
        <v>20.15</v>
      </c>
      <c r="O272">
        <v>297.31</v>
      </c>
    </row>
    <row r="273" spans="1:15" ht="15">
      <c r="A273" t="str">
        <f>"0281324347"</f>
        <v>0281324347</v>
      </c>
      <c r="B273" t="s">
        <v>138</v>
      </c>
      <c r="C273" t="str">
        <f t="shared" si="23"/>
        <v>16/01/01</v>
      </c>
      <c r="D273" t="str">
        <f>"SCHOHARIE"</f>
        <v>SCHOHARIE</v>
      </c>
      <c r="E273">
        <v>24.26</v>
      </c>
      <c r="F273">
        <v>24.59</v>
      </c>
      <c r="G273">
        <v>0</v>
      </c>
      <c r="H273">
        <v>0</v>
      </c>
      <c r="I273">
        <v>0</v>
      </c>
      <c r="J273">
        <v>0</v>
      </c>
      <c r="K273">
        <v>81.53</v>
      </c>
      <c r="L273">
        <v>81.53</v>
      </c>
      <c r="M273">
        <v>0</v>
      </c>
      <c r="N273">
        <v>0</v>
      </c>
      <c r="O273">
        <v>0</v>
      </c>
    </row>
    <row r="274" spans="1:15" ht="15">
      <c r="A274" t="str">
        <f>"0097412147"</f>
        <v>0097412147</v>
      </c>
      <c r="B274" t="s">
        <v>46</v>
      </c>
      <c r="C274" t="str">
        <f t="shared" si="23"/>
        <v>16/01/01</v>
      </c>
      <c r="D274" t="str">
        <f>"SCHOHARIE"</f>
        <v>SCHOHARIE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14.38</v>
      </c>
      <c r="N274">
        <v>14.69</v>
      </c>
      <c r="O274">
        <v>0</v>
      </c>
    </row>
    <row r="275" spans="1:15" ht="15">
      <c r="A275" t="str">
        <f>"0349929047"</f>
        <v>0349929047</v>
      </c>
      <c r="B275" t="s">
        <v>155</v>
      </c>
      <c r="C275" t="str">
        <f t="shared" si="23"/>
        <v>16/01/01</v>
      </c>
      <c r="D275" t="str">
        <f>"SCHOHARIE"</f>
        <v>SCHOHARIE</v>
      </c>
      <c r="E275">
        <v>22.96</v>
      </c>
      <c r="F275">
        <v>22.21</v>
      </c>
      <c r="G275">
        <v>0</v>
      </c>
      <c r="H275">
        <v>0</v>
      </c>
      <c r="I275">
        <v>0</v>
      </c>
      <c r="J275">
        <v>0</v>
      </c>
      <c r="K275">
        <v>32.29</v>
      </c>
      <c r="L275">
        <v>28.72</v>
      </c>
      <c r="M275">
        <v>0</v>
      </c>
      <c r="N275">
        <v>0</v>
      </c>
      <c r="O275">
        <v>0</v>
      </c>
    </row>
    <row r="276" spans="1:15" ht="15">
      <c r="A276" t="str">
        <f>"0170109147"</f>
        <v>0170109147</v>
      </c>
      <c r="B276" t="s">
        <v>91</v>
      </c>
      <c r="C276" t="str">
        <f t="shared" si="23"/>
        <v>16/01/01</v>
      </c>
      <c r="D276" t="str">
        <f>"SCHOHARIE"</f>
        <v>SCHOHARIE</v>
      </c>
      <c r="E276">
        <v>21.25</v>
      </c>
      <c r="F276">
        <v>21.56</v>
      </c>
      <c r="G276">
        <v>21.09</v>
      </c>
      <c r="H276">
        <v>332.36</v>
      </c>
      <c r="I276">
        <v>21.09</v>
      </c>
      <c r="J276">
        <v>21.09</v>
      </c>
      <c r="K276">
        <v>84.56</v>
      </c>
      <c r="L276">
        <v>84.56</v>
      </c>
      <c r="M276">
        <v>18.49</v>
      </c>
      <c r="N276">
        <v>19.77</v>
      </c>
      <c r="O276">
        <v>292.69</v>
      </c>
    </row>
    <row r="277" spans="1:15" ht="15">
      <c r="A277" t="str">
        <f>"0179766248"</f>
        <v>0179766248</v>
      </c>
      <c r="B277" t="s">
        <v>109</v>
      </c>
      <c r="C277" t="str">
        <f t="shared" si="23"/>
        <v>16/01/01</v>
      </c>
      <c r="D277" t="str">
        <f>"SCHUYLER"</f>
        <v>SCHUYLER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15.34</v>
      </c>
      <c r="N277">
        <v>0</v>
      </c>
      <c r="O277">
        <v>0</v>
      </c>
    </row>
    <row r="278" spans="1:15" ht="15">
      <c r="A278" t="str">
        <f>"0194568848"</f>
        <v>0194568848</v>
      </c>
      <c r="B278" t="s">
        <v>114</v>
      </c>
      <c r="C278" t="str">
        <f t="shared" si="23"/>
        <v>16/01/01</v>
      </c>
      <c r="D278" t="str">
        <f>"SCHUYLER"</f>
        <v>SCHUYLER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14.61</v>
      </c>
      <c r="N278">
        <v>19.48</v>
      </c>
      <c r="O278">
        <v>0</v>
      </c>
    </row>
    <row r="279" spans="1:15" ht="15">
      <c r="A279" t="str">
        <f>"0307657948"</f>
        <v>0307657948</v>
      </c>
      <c r="B279" t="s">
        <v>148</v>
      </c>
      <c r="C279" t="str">
        <f t="shared" si="23"/>
        <v>16/01/01</v>
      </c>
      <c r="D279" t="str">
        <f>"SCHUYLER"</f>
        <v>SCHUYLER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22.2</v>
      </c>
      <c r="N279">
        <v>23.38</v>
      </c>
      <c r="O279">
        <v>0</v>
      </c>
    </row>
    <row r="280" spans="1:15" ht="15">
      <c r="A280" t="str">
        <f>"0105243748"</f>
        <v>0105243748</v>
      </c>
      <c r="B280" t="s">
        <v>55</v>
      </c>
      <c r="C280" t="str">
        <f t="shared" si="23"/>
        <v>16/01/01</v>
      </c>
      <c r="D280" t="str">
        <f>"SCHUYLER"</f>
        <v>SCHUYLER</v>
      </c>
      <c r="E280">
        <v>18.32</v>
      </c>
      <c r="F280">
        <v>18.53</v>
      </c>
      <c r="G280">
        <v>27.57</v>
      </c>
      <c r="H280">
        <v>269.09</v>
      </c>
      <c r="I280">
        <v>27.35</v>
      </c>
      <c r="J280">
        <v>27.58</v>
      </c>
      <c r="K280">
        <v>167.44</v>
      </c>
      <c r="L280">
        <v>0</v>
      </c>
      <c r="M280">
        <v>21.56</v>
      </c>
      <c r="N280">
        <v>24</v>
      </c>
      <c r="O280">
        <v>275.36</v>
      </c>
    </row>
    <row r="281" spans="1:15" ht="15">
      <c r="A281" t="str">
        <f>"0302858049"</f>
        <v>0302858049</v>
      </c>
      <c r="B281" t="s">
        <v>147</v>
      </c>
      <c r="C281" t="str">
        <f t="shared" si="23"/>
        <v>16/01/01</v>
      </c>
      <c r="D281" t="str">
        <f>"SENECA"</f>
        <v>SENECA</v>
      </c>
      <c r="E281">
        <v>23.53</v>
      </c>
      <c r="F281">
        <v>24.24</v>
      </c>
      <c r="G281">
        <v>0</v>
      </c>
      <c r="H281">
        <v>0</v>
      </c>
      <c r="I281">
        <v>0</v>
      </c>
      <c r="J281">
        <v>0</v>
      </c>
      <c r="K281">
        <v>147.08</v>
      </c>
      <c r="L281">
        <v>147.58</v>
      </c>
      <c r="M281">
        <v>0</v>
      </c>
      <c r="N281">
        <v>0</v>
      </c>
      <c r="O281">
        <v>0</v>
      </c>
    </row>
    <row r="282" spans="1:15" ht="15">
      <c r="A282" t="str">
        <f>"0147051149"</f>
        <v>0147051149</v>
      </c>
      <c r="B282" t="s">
        <v>79</v>
      </c>
      <c r="C282" t="str">
        <f t="shared" si="23"/>
        <v>16/01/01</v>
      </c>
      <c r="D282" t="str">
        <f>"SENECA"</f>
        <v>SENECA</v>
      </c>
      <c r="E282">
        <v>24.54</v>
      </c>
      <c r="F282">
        <v>25.95</v>
      </c>
      <c r="G282">
        <v>28.45</v>
      </c>
      <c r="H282">
        <v>0</v>
      </c>
      <c r="I282">
        <v>28.23</v>
      </c>
      <c r="J282">
        <v>27.43</v>
      </c>
      <c r="K282">
        <v>129.66</v>
      </c>
      <c r="L282">
        <v>129.67</v>
      </c>
      <c r="M282">
        <v>0</v>
      </c>
      <c r="N282">
        <v>0</v>
      </c>
      <c r="O282">
        <v>0</v>
      </c>
    </row>
    <row r="283" spans="1:15" ht="15">
      <c r="A283" t="str">
        <f>"0170770849"</f>
        <v>0170770849</v>
      </c>
      <c r="B283" t="s">
        <v>93</v>
      </c>
      <c r="C283" t="str">
        <f t="shared" si="23"/>
        <v>16/01/01</v>
      </c>
      <c r="D283" t="str">
        <f>"SENECA"</f>
        <v>SENECA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17.98</v>
      </c>
      <c r="N283">
        <v>0</v>
      </c>
      <c r="O283">
        <v>0</v>
      </c>
    </row>
    <row r="284" spans="1:15" ht="15">
      <c r="A284" t="str">
        <f>"0105243749"</f>
        <v>0105243749</v>
      </c>
      <c r="B284" t="s">
        <v>55</v>
      </c>
      <c r="C284" t="str">
        <f t="shared" si="23"/>
        <v>16/01/01</v>
      </c>
      <c r="D284" t="str">
        <f>"SENECA"</f>
        <v>SENECA</v>
      </c>
      <c r="E284">
        <v>26.54</v>
      </c>
      <c r="F284">
        <v>27.07</v>
      </c>
      <c r="G284">
        <v>29.2</v>
      </c>
      <c r="H284">
        <v>292.7</v>
      </c>
      <c r="I284">
        <v>28.98</v>
      </c>
      <c r="J284">
        <v>29.06</v>
      </c>
      <c r="K284">
        <v>169.08</v>
      </c>
      <c r="L284">
        <v>0</v>
      </c>
      <c r="M284">
        <v>26.81</v>
      </c>
      <c r="N284">
        <v>29.06</v>
      </c>
      <c r="O284">
        <v>335.23</v>
      </c>
    </row>
    <row r="285" spans="1:15" ht="15">
      <c r="A285" t="str">
        <f>"0327725444"</f>
        <v>0327725444</v>
      </c>
      <c r="B285" t="s">
        <v>151</v>
      </c>
      <c r="C285" t="str">
        <f t="shared" si="23"/>
        <v>16/01/01</v>
      </c>
      <c r="D285" t="str">
        <f aca="true" t="shared" si="24" ref="D285:D292">"ST LAWRENCE"</f>
        <v>ST LAWRENCE</v>
      </c>
      <c r="E285">
        <v>21.74</v>
      </c>
      <c r="F285">
        <v>20.77</v>
      </c>
      <c r="G285">
        <v>0</v>
      </c>
      <c r="H285">
        <v>0</v>
      </c>
      <c r="I285">
        <v>0</v>
      </c>
      <c r="J285">
        <v>0</v>
      </c>
      <c r="K285">
        <v>91.09</v>
      </c>
      <c r="L285">
        <v>128.07</v>
      </c>
      <c r="M285">
        <v>0</v>
      </c>
      <c r="N285">
        <v>0</v>
      </c>
      <c r="O285">
        <v>0</v>
      </c>
    </row>
    <row r="286" spans="1:15" ht="15">
      <c r="A286" t="str">
        <f>"0095367744"</f>
        <v>0095367744</v>
      </c>
      <c r="B286" t="s">
        <v>43</v>
      </c>
      <c r="C286" t="str">
        <f t="shared" si="23"/>
        <v>16/01/01</v>
      </c>
      <c r="D286" t="str">
        <f t="shared" si="24"/>
        <v>ST LAWRENCE</v>
      </c>
      <c r="E286">
        <v>18.6</v>
      </c>
      <c r="F286">
        <v>19.44</v>
      </c>
      <c r="G286">
        <v>0</v>
      </c>
      <c r="H286">
        <v>0</v>
      </c>
      <c r="I286">
        <v>20.09</v>
      </c>
      <c r="J286">
        <v>19.44</v>
      </c>
      <c r="K286">
        <v>92.72</v>
      </c>
      <c r="L286">
        <v>92.72</v>
      </c>
      <c r="M286">
        <v>0</v>
      </c>
      <c r="N286">
        <v>0</v>
      </c>
      <c r="O286">
        <v>0</v>
      </c>
    </row>
    <row r="287" spans="1:15" ht="15">
      <c r="A287" t="str">
        <f>"0080671744"</f>
        <v>0080671744</v>
      </c>
      <c r="B287" t="s">
        <v>24</v>
      </c>
      <c r="C287" t="str">
        <f t="shared" si="23"/>
        <v>16/01/01</v>
      </c>
      <c r="D287" t="str">
        <f t="shared" si="24"/>
        <v>ST LAWRENCE</v>
      </c>
      <c r="E287">
        <v>19.54</v>
      </c>
      <c r="F287">
        <v>20.03</v>
      </c>
      <c r="G287">
        <v>0</v>
      </c>
      <c r="H287">
        <v>0</v>
      </c>
      <c r="I287">
        <v>0</v>
      </c>
      <c r="J287">
        <v>0</v>
      </c>
      <c r="K287">
        <v>89.21</v>
      </c>
      <c r="L287">
        <v>0</v>
      </c>
      <c r="M287">
        <v>0</v>
      </c>
      <c r="N287">
        <v>0</v>
      </c>
      <c r="O287">
        <v>0</v>
      </c>
    </row>
    <row r="288" spans="1:15" ht="15">
      <c r="A288" t="str">
        <f>"0089173644"</f>
        <v>0089173644</v>
      </c>
      <c r="B288" t="s">
        <v>32</v>
      </c>
      <c r="C288" t="str">
        <f t="shared" si="23"/>
        <v>16/01/01</v>
      </c>
      <c r="D288" t="str">
        <f t="shared" si="24"/>
        <v>ST LAWRENCE</v>
      </c>
      <c r="E288">
        <v>22.44</v>
      </c>
      <c r="F288">
        <v>22.79</v>
      </c>
      <c r="G288">
        <v>0</v>
      </c>
      <c r="H288">
        <v>0</v>
      </c>
      <c r="I288">
        <v>0</v>
      </c>
      <c r="J288">
        <v>0</v>
      </c>
      <c r="K288">
        <v>103.26</v>
      </c>
      <c r="L288">
        <v>0</v>
      </c>
      <c r="M288">
        <v>0</v>
      </c>
      <c r="N288">
        <v>0</v>
      </c>
      <c r="O288">
        <v>0</v>
      </c>
    </row>
    <row r="289" spans="1:15" ht="15">
      <c r="A289" t="str">
        <f>"0095390244"</f>
        <v>0095390244</v>
      </c>
      <c r="B289" t="s">
        <v>44</v>
      </c>
      <c r="C289" t="str">
        <f t="shared" si="23"/>
        <v>16/01/01</v>
      </c>
      <c r="D289" t="str">
        <f t="shared" si="24"/>
        <v>ST LAWRENCE</v>
      </c>
      <c r="E289">
        <v>21.92</v>
      </c>
      <c r="F289">
        <v>22.03</v>
      </c>
      <c r="G289">
        <v>0</v>
      </c>
      <c r="H289">
        <v>0</v>
      </c>
      <c r="I289">
        <v>22.03</v>
      </c>
      <c r="J289">
        <v>22.06</v>
      </c>
      <c r="K289">
        <v>23</v>
      </c>
      <c r="L289">
        <v>23.29</v>
      </c>
      <c r="M289">
        <v>0</v>
      </c>
      <c r="N289">
        <v>0</v>
      </c>
      <c r="O289">
        <v>0</v>
      </c>
    </row>
    <row r="290" spans="1:15" ht="15">
      <c r="A290" t="str">
        <f>"0174106044"</f>
        <v>0174106044</v>
      </c>
      <c r="B290" t="s">
        <v>100</v>
      </c>
      <c r="C290" t="str">
        <f t="shared" si="23"/>
        <v>16/01/01</v>
      </c>
      <c r="D290" t="str">
        <f t="shared" si="24"/>
        <v>ST LAWRENCE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15.65</v>
      </c>
      <c r="N290">
        <v>0</v>
      </c>
      <c r="O290">
        <v>0</v>
      </c>
    </row>
    <row r="291" spans="1:15" ht="15">
      <c r="A291" t="str">
        <f>"0296962044"</f>
        <v>0296962044</v>
      </c>
      <c r="B291" t="s">
        <v>142</v>
      </c>
      <c r="C291" t="str">
        <f t="shared" si="23"/>
        <v>16/01/01</v>
      </c>
      <c r="D291" t="str">
        <f t="shared" si="24"/>
        <v>ST LAWRENCE</v>
      </c>
      <c r="E291">
        <v>22.39</v>
      </c>
      <c r="F291">
        <v>22.7</v>
      </c>
      <c r="G291">
        <v>0</v>
      </c>
      <c r="H291">
        <v>0</v>
      </c>
      <c r="I291">
        <v>0</v>
      </c>
      <c r="J291">
        <v>0</v>
      </c>
      <c r="K291">
        <v>91.99</v>
      </c>
      <c r="L291">
        <v>91.99</v>
      </c>
      <c r="M291">
        <v>0</v>
      </c>
      <c r="N291">
        <v>0</v>
      </c>
      <c r="O291">
        <v>0</v>
      </c>
    </row>
    <row r="292" spans="1:15" ht="15">
      <c r="A292" t="str">
        <f>"0240778944"</f>
        <v>0240778944</v>
      </c>
      <c r="B292" t="s">
        <v>131</v>
      </c>
      <c r="C292" t="str">
        <f t="shared" si="23"/>
        <v>16/01/01</v>
      </c>
      <c r="D292" t="str">
        <f t="shared" si="24"/>
        <v>ST LAWRENCE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17.15</v>
      </c>
      <c r="N292">
        <v>0</v>
      </c>
      <c r="O292">
        <v>0</v>
      </c>
    </row>
    <row r="293" spans="1:15" ht="15">
      <c r="A293" t="str">
        <f>"0179766250"</f>
        <v>0179766250</v>
      </c>
      <c r="B293" t="s">
        <v>109</v>
      </c>
      <c r="C293" t="str">
        <f t="shared" si="23"/>
        <v>16/01/01</v>
      </c>
      <c r="D293" t="str">
        <f>"STEUBEN"</f>
        <v>STEUBEN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15.34</v>
      </c>
      <c r="N293">
        <v>0</v>
      </c>
      <c r="O293">
        <v>0</v>
      </c>
    </row>
    <row r="294" spans="1:15" ht="15">
      <c r="A294" t="str">
        <f>"0194568850"</f>
        <v>0194568850</v>
      </c>
      <c r="B294" t="s">
        <v>114</v>
      </c>
      <c r="C294" t="str">
        <f t="shared" si="23"/>
        <v>16/01/01</v>
      </c>
      <c r="D294" t="str">
        <f>"STEUBEN"</f>
        <v>STEUBEN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14.04</v>
      </c>
      <c r="N294">
        <v>19.66</v>
      </c>
      <c r="O294">
        <v>0</v>
      </c>
    </row>
    <row r="295" spans="1:15" ht="15">
      <c r="A295" t="str">
        <f>"0091624350"</f>
        <v>0091624350</v>
      </c>
      <c r="B295" t="s">
        <v>38</v>
      </c>
      <c r="C295" t="str">
        <f t="shared" si="23"/>
        <v>16/01/01</v>
      </c>
      <c r="D295" t="str">
        <f>"STEUBEN"</f>
        <v>STEUBEN</v>
      </c>
      <c r="E295">
        <v>23.44</v>
      </c>
      <c r="F295">
        <v>23.74</v>
      </c>
      <c r="G295">
        <v>30.75</v>
      </c>
      <c r="H295">
        <v>307.99</v>
      </c>
      <c r="I295">
        <v>27.93</v>
      </c>
      <c r="J295">
        <v>28.16</v>
      </c>
      <c r="K295">
        <v>77.56</v>
      </c>
      <c r="L295">
        <v>68.04</v>
      </c>
      <c r="M295">
        <v>23.48</v>
      </c>
      <c r="N295">
        <v>25.08</v>
      </c>
      <c r="O295">
        <v>274.72</v>
      </c>
    </row>
    <row r="296" spans="1:15" ht="15">
      <c r="A296" t="str">
        <f>"0105243750"</f>
        <v>0105243750</v>
      </c>
      <c r="B296" t="s">
        <v>55</v>
      </c>
      <c r="C296" t="str">
        <f t="shared" si="23"/>
        <v>16/01/01</v>
      </c>
      <c r="D296" t="str">
        <f>"STEUBEN"</f>
        <v>STEUBEN</v>
      </c>
      <c r="E296">
        <v>26.54</v>
      </c>
      <c r="F296">
        <v>27.07</v>
      </c>
      <c r="G296">
        <v>29.2</v>
      </c>
      <c r="H296">
        <v>292.7</v>
      </c>
      <c r="I296">
        <v>28.98</v>
      </c>
      <c r="J296">
        <v>29.06</v>
      </c>
      <c r="K296">
        <v>169.08</v>
      </c>
      <c r="L296">
        <v>0</v>
      </c>
      <c r="M296">
        <v>26.81</v>
      </c>
      <c r="N296">
        <v>29.06</v>
      </c>
      <c r="O296">
        <v>335.23</v>
      </c>
    </row>
    <row r="297" spans="1:15" ht="15">
      <c r="A297" t="str">
        <f>"0035491250"</f>
        <v>0035491250</v>
      </c>
      <c r="B297" t="s">
        <v>7</v>
      </c>
      <c r="C297" t="str">
        <f t="shared" si="23"/>
        <v>16/01/01</v>
      </c>
      <c r="D297" t="str">
        <f>"STEUBEN"</f>
        <v>STEUBEN</v>
      </c>
      <c r="E297">
        <v>26.87</v>
      </c>
      <c r="F297">
        <v>30.86</v>
      </c>
      <c r="G297">
        <v>31.26</v>
      </c>
      <c r="H297">
        <v>312.88</v>
      </c>
      <c r="I297">
        <v>29.41</v>
      </c>
      <c r="J297">
        <v>31.79</v>
      </c>
      <c r="K297">
        <v>169.07</v>
      </c>
      <c r="L297">
        <v>169.07</v>
      </c>
      <c r="M297">
        <v>28.6</v>
      </c>
      <c r="N297">
        <v>30.69</v>
      </c>
      <c r="O297">
        <v>357.71</v>
      </c>
    </row>
    <row r="298" spans="1:15" ht="15">
      <c r="A298" t="str">
        <f>"0035467851"</f>
        <v>0035467851</v>
      </c>
      <c r="B298" t="s">
        <v>4</v>
      </c>
      <c r="C298" t="str">
        <f t="shared" si="23"/>
        <v>16/01/01</v>
      </c>
      <c r="D298" t="str">
        <f aca="true" t="shared" si="25" ref="D298:D318">"SUFFOLK"</f>
        <v>SUFFOLK</v>
      </c>
      <c r="E298">
        <v>23.38</v>
      </c>
      <c r="F298">
        <v>23.67</v>
      </c>
      <c r="G298">
        <v>30.07</v>
      </c>
      <c r="H298">
        <v>313.76</v>
      </c>
      <c r="I298">
        <v>29.99</v>
      </c>
      <c r="J298">
        <v>31.51</v>
      </c>
      <c r="K298">
        <v>96.48</v>
      </c>
      <c r="L298">
        <v>0</v>
      </c>
      <c r="M298">
        <v>23.69</v>
      </c>
      <c r="N298">
        <v>25.08</v>
      </c>
      <c r="O298">
        <v>274.52</v>
      </c>
    </row>
    <row r="299" spans="1:15" ht="15">
      <c r="A299" t="str">
        <f>"0402777651"</f>
        <v>0402777651</v>
      </c>
      <c r="B299" t="s">
        <v>161</v>
      </c>
      <c r="C299" t="str">
        <f t="shared" si="23"/>
        <v>16/01/01</v>
      </c>
      <c r="D299" t="str">
        <f t="shared" si="25"/>
        <v>SUFFOLK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158.23</v>
      </c>
      <c r="M299">
        <v>28.84</v>
      </c>
      <c r="N299">
        <v>30.27</v>
      </c>
      <c r="O299">
        <v>375.18</v>
      </c>
    </row>
    <row r="300" spans="1:15" ht="15">
      <c r="A300" t="str">
        <f>"0035466951"</f>
        <v>0035466951</v>
      </c>
      <c r="B300" t="s">
        <v>3</v>
      </c>
      <c r="C300" t="str">
        <f t="shared" si="23"/>
        <v>16/01/01</v>
      </c>
      <c r="D300" t="str">
        <f t="shared" si="25"/>
        <v>SUFFOLK</v>
      </c>
      <c r="E300">
        <v>21.15</v>
      </c>
      <c r="F300">
        <v>21.46</v>
      </c>
      <c r="G300">
        <v>34.31</v>
      </c>
      <c r="H300">
        <v>264.6</v>
      </c>
      <c r="I300">
        <v>21.77</v>
      </c>
      <c r="J300">
        <v>21.78</v>
      </c>
      <c r="K300">
        <v>99.7</v>
      </c>
      <c r="L300">
        <v>113.15</v>
      </c>
      <c r="M300">
        <v>24.75</v>
      </c>
      <c r="N300">
        <v>25.46</v>
      </c>
      <c r="O300">
        <v>314.31</v>
      </c>
    </row>
    <row r="301" spans="1:15" ht="15">
      <c r="A301" t="str">
        <f>"0084696051"</f>
        <v>0084696051</v>
      </c>
      <c r="B301" t="s">
        <v>29</v>
      </c>
      <c r="C301" t="str">
        <f t="shared" si="23"/>
        <v>16/01/01</v>
      </c>
      <c r="D301" t="str">
        <f t="shared" si="25"/>
        <v>SUFFOLK</v>
      </c>
      <c r="E301">
        <v>21.08</v>
      </c>
      <c r="F301">
        <v>21.36</v>
      </c>
      <c r="G301">
        <v>25.16</v>
      </c>
      <c r="H301">
        <v>258.16</v>
      </c>
      <c r="I301">
        <v>24.34</v>
      </c>
      <c r="J301">
        <v>24.41</v>
      </c>
      <c r="K301">
        <v>111.18</v>
      </c>
      <c r="L301">
        <v>0</v>
      </c>
      <c r="M301">
        <v>21.06</v>
      </c>
      <c r="N301">
        <v>25.56</v>
      </c>
      <c r="O301">
        <v>268.41</v>
      </c>
    </row>
    <row r="302" spans="1:15" ht="15">
      <c r="A302" t="str">
        <f>"0085078451"</f>
        <v>0085078451</v>
      </c>
      <c r="B302" t="s">
        <v>30</v>
      </c>
      <c r="C302" t="str">
        <f t="shared" si="23"/>
        <v>16/01/01</v>
      </c>
      <c r="D302" t="str">
        <f t="shared" si="25"/>
        <v>SUFFOLK</v>
      </c>
      <c r="E302">
        <v>23.36</v>
      </c>
      <c r="F302">
        <v>22.51</v>
      </c>
      <c r="G302">
        <v>25.84</v>
      </c>
      <c r="H302">
        <v>245.58</v>
      </c>
      <c r="I302">
        <v>24.01</v>
      </c>
      <c r="J302">
        <v>27.33</v>
      </c>
      <c r="K302">
        <v>152.7</v>
      </c>
      <c r="L302">
        <v>152.7</v>
      </c>
      <c r="M302">
        <v>23.22</v>
      </c>
      <c r="N302">
        <v>24.29</v>
      </c>
      <c r="O302">
        <v>304.59</v>
      </c>
    </row>
    <row r="303" spans="1:15" ht="15">
      <c r="A303" t="str">
        <f>"0078841851"</f>
        <v>0078841851</v>
      </c>
      <c r="B303" t="s">
        <v>23</v>
      </c>
      <c r="C303" t="str">
        <f t="shared" si="23"/>
        <v>16/01/01</v>
      </c>
      <c r="D303" t="str">
        <f t="shared" si="25"/>
        <v>SUFFOLK</v>
      </c>
      <c r="E303">
        <v>20.65</v>
      </c>
      <c r="F303">
        <v>19.07</v>
      </c>
      <c r="G303">
        <v>22.35</v>
      </c>
      <c r="H303">
        <v>253.88</v>
      </c>
      <c r="I303">
        <v>26.01</v>
      </c>
      <c r="J303">
        <v>21.84</v>
      </c>
      <c r="K303">
        <v>112.21</v>
      </c>
      <c r="L303">
        <v>148.88</v>
      </c>
      <c r="M303">
        <v>23.7</v>
      </c>
      <c r="N303">
        <v>24.7</v>
      </c>
      <c r="O303">
        <v>237.89</v>
      </c>
    </row>
    <row r="304" spans="1:15" ht="15">
      <c r="A304" t="str">
        <f>"0421070251"</f>
        <v>0421070251</v>
      </c>
      <c r="B304" t="s">
        <v>169</v>
      </c>
      <c r="C304" t="str">
        <f t="shared" si="23"/>
        <v>16/01/01</v>
      </c>
      <c r="D304" t="str">
        <f t="shared" si="25"/>
        <v>SUFFOLK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27.21</v>
      </c>
      <c r="N304">
        <v>27.03</v>
      </c>
      <c r="O304">
        <v>274.46</v>
      </c>
    </row>
    <row r="305" spans="1:15" ht="15">
      <c r="A305" t="str">
        <f>"0205618251"</f>
        <v>0205618251</v>
      </c>
      <c r="B305" t="s">
        <v>117</v>
      </c>
      <c r="C305" t="str">
        <f t="shared" si="23"/>
        <v>16/01/01</v>
      </c>
      <c r="D305" t="str">
        <f t="shared" si="25"/>
        <v>SUFFOLK</v>
      </c>
      <c r="E305">
        <v>16.49</v>
      </c>
      <c r="F305">
        <v>25.12</v>
      </c>
      <c r="G305">
        <v>24.61</v>
      </c>
      <c r="H305">
        <v>246.36</v>
      </c>
      <c r="I305">
        <v>0</v>
      </c>
      <c r="J305">
        <v>0</v>
      </c>
      <c r="K305">
        <v>134.71</v>
      </c>
      <c r="L305">
        <v>0</v>
      </c>
      <c r="M305">
        <v>0</v>
      </c>
      <c r="N305">
        <v>0</v>
      </c>
      <c r="O305">
        <v>0</v>
      </c>
    </row>
    <row r="306" spans="1:15" ht="15">
      <c r="A306" t="str">
        <f>"0081865351"</f>
        <v>0081865351</v>
      </c>
      <c r="B306" t="s">
        <v>28</v>
      </c>
      <c r="C306" t="str">
        <f t="shared" si="23"/>
        <v>16/01/01</v>
      </c>
      <c r="D306" t="str">
        <f t="shared" si="25"/>
        <v>SUFFOLK</v>
      </c>
      <c r="E306">
        <v>21.21</v>
      </c>
      <c r="F306">
        <v>22.1</v>
      </c>
      <c r="G306">
        <v>27.2</v>
      </c>
      <c r="H306">
        <v>250.94</v>
      </c>
      <c r="I306">
        <v>0</v>
      </c>
      <c r="J306">
        <v>0</v>
      </c>
      <c r="K306">
        <v>96.58</v>
      </c>
      <c r="L306">
        <v>0</v>
      </c>
      <c r="M306">
        <v>22.37</v>
      </c>
      <c r="N306">
        <v>0</v>
      </c>
      <c r="O306">
        <v>239.75</v>
      </c>
    </row>
    <row r="307" spans="1:15" ht="15">
      <c r="A307" t="str">
        <f>"0150897451"</f>
        <v>0150897451</v>
      </c>
      <c r="B307" t="s">
        <v>83</v>
      </c>
      <c r="C307" t="str">
        <f t="shared" si="23"/>
        <v>16/01/01</v>
      </c>
      <c r="D307" t="str">
        <f t="shared" si="25"/>
        <v>SUFFOLK</v>
      </c>
      <c r="E307">
        <v>22.59</v>
      </c>
      <c r="F307">
        <v>22.69</v>
      </c>
      <c r="G307">
        <v>34.29</v>
      </c>
      <c r="H307">
        <v>321.32</v>
      </c>
      <c r="I307">
        <v>26.94</v>
      </c>
      <c r="J307">
        <v>29.07</v>
      </c>
      <c r="K307">
        <v>100.19</v>
      </c>
      <c r="L307">
        <v>108.45</v>
      </c>
      <c r="M307">
        <v>24.34</v>
      </c>
      <c r="N307">
        <v>25.54</v>
      </c>
      <c r="O307">
        <v>314.96</v>
      </c>
    </row>
    <row r="308" spans="1:15" ht="15">
      <c r="A308" t="str">
        <f>"0231917551"</f>
        <v>0231917551</v>
      </c>
      <c r="B308" t="s">
        <v>126</v>
      </c>
      <c r="C308" t="str">
        <f t="shared" si="23"/>
        <v>16/01/01</v>
      </c>
      <c r="D308" t="str">
        <f t="shared" si="25"/>
        <v>SUFFOLK</v>
      </c>
      <c r="E308">
        <v>21.74</v>
      </c>
      <c r="F308">
        <v>24.46</v>
      </c>
      <c r="G308">
        <v>27.17</v>
      </c>
      <c r="H308">
        <v>350.51</v>
      </c>
      <c r="I308">
        <v>0</v>
      </c>
      <c r="J308">
        <v>0</v>
      </c>
      <c r="K308">
        <v>87.89</v>
      </c>
      <c r="L308">
        <v>0</v>
      </c>
      <c r="M308">
        <v>24.46</v>
      </c>
      <c r="N308">
        <v>24.46</v>
      </c>
      <c r="O308">
        <v>350.51</v>
      </c>
    </row>
    <row r="309" spans="1:15" ht="15">
      <c r="A309" t="str">
        <f>"0150251051"</f>
        <v>0150251051</v>
      </c>
      <c r="B309" t="s">
        <v>82</v>
      </c>
      <c r="C309" t="str">
        <f t="shared" si="23"/>
        <v>16/01/01</v>
      </c>
      <c r="D309" t="str">
        <f t="shared" si="25"/>
        <v>SUFFOLK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181.01</v>
      </c>
      <c r="L309">
        <v>0</v>
      </c>
      <c r="M309">
        <v>33.11</v>
      </c>
      <c r="N309">
        <v>34.24</v>
      </c>
      <c r="O309">
        <v>320.67</v>
      </c>
    </row>
    <row r="310" spans="1:15" ht="15">
      <c r="A310" t="str">
        <f>"0108728751"</f>
        <v>0108728751</v>
      </c>
      <c r="B310" t="s">
        <v>60</v>
      </c>
      <c r="C310" t="str">
        <f t="shared" si="23"/>
        <v>16/01/01</v>
      </c>
      <c r="D310" t="str">
        <f t="shared" si="25"/>
        <v>SUFFOLK</v>
      </c>
      <c r="E310">
        <v>21.72</v>
      </c>
      <c r="F310">
        <v>22.01</v>
      </c>
      <c r="G310">
        <v>25.97</v>
      </c>
      <c r="H310">
        <v>260.88</v>
      </c>
      <c r="I310">
        <v>26.06</v>
      </c>
      <c r="J310">
        <v>24.49</v>
      </c>
      <c r="K310">
        <v>101.91</v>
      </c>
      <c r="L310">
        <v>0</v>
      </c>
      <c r="M310">
        <v>20.87</v>
      </c>
      <c r="N310">
        <v>21.57</v>
      </c>
      <c r="O310">
        <v>268.32</v>
      </c>
    </row>
    <row r="311" spans="1:15" ht="15">
      <c r="A311" t="str">
        <f>"0042019551"</f>
        <v>0042019551</v>
      </c>
      <c r="B311" t="s">
        <v>10</v>
      </c>
      <c r="C311" t="str">
        <f t="shared" si="23"/>
        <v>16/01/01</v>
      </c>
      <c r="D311" t="str">
        <f t="shared" si="25"/>
        <v>SUFFOLK</v>
      </c>
      <c r="E311">
        <v>18.58</v>
      </c>
      <c r="F311">
        <v>18.85</v>
      </c>
      <c r="G311">
        <v>25.98</v>
      </c>
      <c r="H311">
        <v>228.12</v>
      </c>
      <c r="I311">
        <v>19.03</v>
      </c>
      <c r="J311">
        <v>19.03</v>
      </c>
      <c r="K311">
        <v>90.53</v>
      </c>
      <c r="L311">
        <v>90.53</v>
      </c>
      <c r="M311">
        <v>19.9</v>
      </c>
      <c r="N311">
        <v>20.7</v>
      </c>
      <c r="O311">
        <v>237.99</v>
      </c>
    </row>
    <row r="312" spans="1:15" ht="15">
      <c r="A312" t="str">
        <f>"0417503151"</f>
        <v>0417503151</v>
      </c>
      <c r="B312" t="s">
        <v>168</v>
      </c>
      <c r="C312" t="str">
        <f t="shared" si="23"/>
        <v>16/01/01</v>
      </c>
      <c r="D312" t="str">
        <f t="shared" si="25"/>
        <v>SUFFOLK</v>
      </c>
      <c r="E312">
        <v>25.13</v>
      </c>
      <c r="F312">
        <v>26.53</v>
      </c>
      <c r="G312">
        <v>0</v>
      </c>
      <c r="H312">
        <v>289.67</v>
      </c>
      <c r="I312">
        <v>26.15</v>
      </c>
      <c r="J312">
        <v>26.15</v>
      </c>
      <c r="K312">
        <v>128.43</v>
      </c>
      <c r="L312">
        <v>128.44</v>
      </c>
      <c r="M312">
        <v>26.83</v>
      </c>
      <c r="N312">
        <v>26.9</v>
      </c>
      <c r="O312">
        <v>274.15</v>
      </c>
    </row>
    <row r="313" spans="1:15" ht="15">
      <c r="A313" t="str">
        <f>"0134254351"</f>
        <v>0134254351</v>
      </c>
      <c r="B313" t="s">
        <v>71</v>
      </c>
      <c r="C313" t="str">
        <f t="shared" si="23"/>
        <v>16/01/01</v>
      </c>
      <c r="D313" t="str">
        <f t="shared" si="25"/>
        <v>SUFFOLK</v>
      </c>
      <c r="E313">
        <v>19.74</v>
      </c>
      <c r="F313">
        <v>20.02</v>
      </c>
      <c r="G313">
        <v>24.79</v>
      </c>
      <c r="H313">
        <v>246.19</v>
      </c>
      <c r="I313">
        <v>23.44</v>
      </c>
      <c r="J313">
        <v>21.57</v>
      </c>
      <c r="K313">
        <v>90.53</v>
      </c>
      <c r="L313">
        <v>0</v>
      </c>
      <c r="M313">
        <v>20.71</v>
      </c>
      <c r="N313">
        <v>21.27</v>
      </c>
      <c r="O313">
        <v>263.34</v>
      </c>
    </row>
    <row r="314" spans="1:15" ht="15">
      <c r="A314" t="str">
        <f>"0047617351"</f>
        <v>0047617351</v>
      </c>
      <c r="B314" t="s">
        <v>6</v>
      </c>
      <c r="C314" t="str">
        <f t="shared" si="23"/>
        <v>16/01/01</v>
      </c>
      <c r="D314" t="str">
        <f t="shared" si="25"/>
        <v>SUFFOLK</v>
      </c>
      <c r="E314">
        <v>17.9</v>
      </c>
      <c r="F314">
        <v>18.09</v>
      </c>
      <c r="G314">
        <v>32.61</v>
      </c>
      <c r="H314">
        <v>221.35</v>
      </c>
      <c r="I314">
        <v>27</v>
      </c>
      <c r="J314">
        <v>19.69</v>
      </c>
      <c r="K314">
        <v>105.06</v>
      </c>
      <c r="L314">
        <v>154.83</v>
      </c>
      <c r="M314">
        <v>18.84</v>
      </c>
      <c r="N314">
        <v>25.47</v>
      </c>
      <c r="O314">
        <v>243.9</v>
      </c>
    </row>
    <row r="315" spans="1:15" ht="15">
      <c r="A315" t="str">
        <f>"0414030551"</f>
        <v>0414030551</v>
      </c>
      <c r="B315" t="s">
        <v>164</v>
      </c>
      <c r="C315" t="str">
        <f t="shared" si="23"/>
        <v>16/01/01</v>
      </c>
      <c r="D315" t="str">
        <f t="shared" si="25"/>
        <v>SUFFOLK</v>
      </c>
      <c r="E315">
        <v>26.29</v>
      </c>
      <c r="F315">
        <v>24.13</v>
      </c>
      <c r="G315">
        <v>30.77</v>
      </c>
      <c r="H315">
        <v>279.08</v>
      </c>
      <c r="I315">
        <v>0</v>
      </c>
      <c r="J315">
        <v>32.45</v>
      </c>
      <c r="K315">
        <v>28.33</v>
      </c>
      <c r="L315">
        <v>28.83</v>
      </c>
      <c r="M315">
        <v>29.35</v>
      </c>
      <c r="N315">
        <v>29.35</v>
      </c>
      <c r="O315">
        <v>320.67</v>
      </c>
    </row>
    <row r="316" spans="1:15" ht="15">
      <c r="A316" t="str">
        <f>"0108549651"</f>
        <v>0108549651</v>
      </c>
      <c r="B316" t="s">
        <v>59</v>
      </c>
      <c r="C316" t="str">
        <f t="shared" si="23"/>
        <v>16/01/01</v>
      </c>
      <c r="D316" t="str">
        <f t="shared" si="25"/>
        <v>SUFFOLK</v>
      </c>
      <c r="E316">
        <v>19.01</v>
      </c>
      <c r="F316">
        <v>19.11</v>
      </c>
      <c r="G316">
        <v>34.36</v>
      </c>
      <c r="H316">
        <v>235.4</v>
      </c>
      <c r="I316">
        <v>20.48</v>
      </c>
      <c r="J316">
        <v>20.49</v>
      </c>
      <c r="K316">
        <v>116.08</v>
      </c>
      <c r="L316">
        <v>155.02</v>
      </c>
      <c r="M316">
        <v>19.77</v>
      </c>
      <c r="N316">
        <v>25.49</v>
      </c>
      <c r="O316">
        <v>256.81</v>
      </c>
    </row>
    <row r="317" spans="1:15" ht="15">
      <c r="A317" t="str">
        <f>"0035491251"</f>
        <v>0035491251</v>
      </c>
      <c r="B317" t="s">
        <v>7</v>
      </c>
      <c r="C317" t="str">
        <f t="shared" si="23"/>
        <v>16/01/01</v>
      </c>
      <c r="D317" t="str">
        <f t="shared" si="25"/>
        <v>SUFFOLK</v>
      </c>
      <c r="E317">
        <v>24.79</v>
      </c>
      <c r="F317">
        <v>22.35</v>
      </c>
      <c r="G317">
        <v>31.56</v>
      </c>
      <c r="H317">
        <v>268.09</v>
      </c>
      <c r="I317">
        <v>31.56</v>
      </c>
      <c r="J317">
        <v>27.53</v>
      </c>
      <c r="K317">
        <v>168.87</v>
      </c>
      <c r="L317">
        <v>163.77</v>
      </c>
      <c r="M317">
        <v>25.19</v>
      </c>
      <c r="N317">
        <v>26.57</v>
      </c>
      <c r="O317">
        <v>315.41</v>
      </c>
    </row>
    <row r="318" spans="1:15" ht="15">
      <c r="A318" t="str">
        <f>"0113351351"</f>
        <v>0113351351</v>
      </c>
      <c r="B318" t="s">
        <v>62</v>
      </c>
      <c r="C318" t="str">
        <f t="shared" si="23"/>
        <v>16/01/01</v>
      </c>
      <c r="D318" t="str">
        <f t="shared" si="25"/>
        <v>SUFFOLK</v>
      </c>
      <c r="E318">
        <v>21.97</v>
      </c>
      <c r="F318">
        <v>22.54</v>
      </c>
      <c r="G318">
        <v>27.86</v>
      </c>
      <c r="H318">
        <v>255.55</v>
      </c>
      <c r="I318">
        <v>26.4</v>
      </c>
      <c r="J318">
        <v>25.91</v>
      </c>
      <c r="K318">
        <v>133.08</v>
      </c>
      <c r="L318">
        <v>181.02</v>
      </c>
      <c r="M318">
        <v>24.33</v>
      </c>
      <c r="N318">
        <v>25.42</v>
      </c>
      <c r="O318">
        <v>314.21</v>
      </c>
    </row>
    <row r="319" spans="1:15" ht="15">
      <c r="A319" t="str">
        <f>"0173848552"</f>
        <v>0173848552</v>
      </c>
      <c r="B319" t="s">
        <v>97</v>
      </c>
      <c r="C319" t="str">
        <f t="shared" si="23"/>
        <v>16/01/01</v>
      </c>
      <c r="D319" t="str">
        <f aca="true" t="shared" si="26" ref="D319:D324">"SULLIVAN"</f>
        <v>SULLIVAN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17.54</v>
      </c>
      <c r="N319">
        <v>0</v>
      </c>
      <c r="O319">
        <v>0</v>
      </c>
    </row>
    <row r="320" spans="1:15" ht="15">
      <c r="A320" t="str">
        <f>"0099143352"</f>
        <v>0099143352</v>
      </c>
      <c r="B320" t="s">
        <v>49</v>
      </c>
      <c r="C320" t="str">
        <f t="shared" si="23"/>
        <v>16/01/01</v>
      </c>
      <c r="D320" t="str">
        <f t="shared" si="26"/>
        <v>SULLIVAN</v>
      </c>
      <c r="E320">
        <v>20.12</v>
      </c>
      <c r="F320">
        <v>22.37</v>
      </c>
      <c r="G320">
        <v>29.58</v>
      </c>
      <c r="H320">
        <v>294</v>
      </c>
      <c r="I320">
        <v>30.95</v>
      </c>
      <c r="J320">
        <v>27.01</v>
      </c>
      <c r="K320">
        <v>133.67</v>
      </c>
      <c r="L320">
        <v>166.08</v>
      </c>
      <c r="M320">
        <v>18.16</v>
      </c>
      <c r="N320">
        <v>25.97</v>
      </c>
      <c r="O320">
        <v>217.39</v>
      </c>
    </row>
    <row r="321" spans="1:15" ht="15">
      <c r="A321" t="str">
        <f>"0324945652"</f>
        <v>0324945652</v>
      </c>
      <c r="B321" t="s">
        <v>149</v>
      </c>
      <c r="C321" t="str">
        <f t="shared" si="23"/>
        <v>16/01/01</v>
      </c>
      <c r="D321" t="str">
        <f t="shared" si="26"/>
        <v>SULLIVAN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19.32</v>
      </c>
      <c r="N321">
        <v>0</v>
      </c>
      <c r="O321">
        <v>0</v>
      </c>
    </row>
    <row r="322" spans="1:15" ht="15">
      <c r="A322" t="str">
        <f>"0173893052"</f>
        <v>0173893052</v>
      </c>
      <c r="B322" t="s">
        <v>98</v>
      </c>
      <c r="C322" t="str">
        <f t="shared" si="23"/>
        <v>16/01/01</v>
      </c>
      <c r="D322" t="str">
        <f t="shared" si="26"/>
        <v>SULLIVAN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16.4</v>
      </c>
      <c r="N322">
        <v>18.6</v>
      </c>
      <c r="O322">
        <v>0</v>
      </c>
    </row>
    <row r="323" spans="1:15" ht="15">
      <c r="A323" t="str">
        <f>"0091059052"</f>
        <v>0091059052</v>
      </c>
      <c r="B323" t="s">
        <v>36</v>
      </c>
      <c r="C323" t="str">
        <f t="shared" si="23"/>
        <v>16/01/01</v>
      </c>
      <c r="D323" t="str">
        <f t="shared" si="26"/>
        <v>SULLIVAN</v>
      </c>
      <c r="E323">
        <v>21.5</v>
      </c>
      <c r="F323">
        <v>20.69</v>
      </c>
      <c r="G323">
        <v>23.9</v>
      </c>
      <c r="H323">
        <v>250.51</v>
      </c>
      <c r="I323">
        <v>24.41</v>
      </c>
      <c r="J323">
        <v>23.62</v>
      </c>
      <c r="K323">
        <v>101.86</v>
      </c>
      <c r="L323">
        <v>97.79</v>
      </c>
      <c r="M323">
        <v>18.6</v>
      </c>
      <c r="N323">
        <v>20.97</v>
      </c>
      <c r="O323">
        <v>238.79</v>
      </c>
    </row>
    <row r="324" spans="1:15" ht="15">
      <c r="A324" t="str">
        <f>"0092528252"</f>
        <v>0092528252</v>
      </c>
      <c r="B324" t="s">
        <v>41</v>
      </c>
      <c r="C324" t="str">
        <f t="shared" si="23"/>
        <v>16/01/01</v>
      </c>
      <c r="D324" t="str">
        <f t="shared" si="26"/>
        <v>SULLIVAN</v>
      </c>
      <c r="E324">
        <v>24.46</v>
      </c>
      <c r="F324">
        <v>24.46</v>
      </c>
      <c r="G324">
        <v>0</v>
      </c>
      <c r="H324">
        <v>0</v>
      </c>
      <c r="I324">
        <v>0</v>
      </c>
      <c r="J324">
        <v>0</v>
      </c>
      <c r="K324">
        <v>76.46</v>
      </c>
      <c r="L324">
        <v>0</v>
      </c>
      <c r="M324">
        <v>15.47</v>
      </c>
      <c r="N324">
        <v>0</v>
      </c>
      <c r="O324">
        <v>0</v>
      </c>
    </row>
    <row r="325" spans="1:15" ht="15">
      <c r="A325" t="str">
        <f>"0179766253"</f>
        <v>0179766253</v>
      </c>
      <c r="B325" t="s">
        <v>109</v>
      </c>
      <c r="C325" t="str">
        <f t="shared" si="23"/>
        <v>16/01/01</v>
      </c>
      <c r="D325" t="str">
        <f>"TIOGA"</f>
        <v>TIOGA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15.34</v>
      </c>
      <c r="N325">
        <v>0</v>
      </c>
      <c r="O325">
        <v>0</v>
      </c>
    </row>
    <row r="326" spans="1:15" ht="15">
      <c r="A326" t="str">
        <f>"0059035453"</f>
        <v>0059035453</v>
      </c>
      <c r="B326" t="s">
        <v>21</v>
      </c>
      <c r="C326" t="str">
        <f t="shared" si="23"/>
        <v>16/01/01</v>
      </c>
      <c r="D326" t="str">
        <f>"TIOGA"</f>
        <v>TIOGA</v>
      </c>
      <c r="E326">
        <v>22.45</v>
      </c>
      <c r="F326">
        <v>22.76</v>
      </c>
      <c r="G326">
        <v>0</v>
      </c>
      <c r="H326">
        <v>0</v>
      </c>
      <c r="I326">
        <v>0</v>
      </c>
      <c r="J326">
        <v>0</v>
      </c>
      <c r="K326">
        <v>84.55</v>
      </c>
      <c r="L326">
        <v>0</v>
      </c>
      <c r="M326">
        <v>0</v>
      </c>
      <c r="N326">
        <v>0</v>
      </c>
      <c r="O326">
        <v>0</v>
      </c>
    </row>
    <row r="327" spans="1:15" ht="15">
      <c r="A327" t="str">
        <f>"0174116653"</f>
        <v>0174116653</v>
      </c>
      <c r="B327" t="s">
        <v>101</v>
      </c>
      <c r="C327" t="str">
        <f aca="true" t="shared" si="27" ref="C327:C390">"16/01/01"</f>
        <v>16/01/01</v>
      </c>
      <c r="D327" t="str">
        <f>"TIOGA"</f>
        <v>TIOGA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14.08</v>
      </c>
      <c r="N327">
        <v>0</v>
      </c>
      <c r="O327">
        <v>0</v>
      </c>
    </row>
    <row r="328" spans="1:15" ht="15">
      <c r="A328" t="str">
        <f>"0105243753"</f>
        <v>0105243753</v>
      </c>
      <c r="B328" t="s">
        <v>55</v>
      </c>
      <c r="C328" t="str">
        <f t="shared" si="27"/>
        <v>16/01/01</v>
      </c>
      <c r="D328" t="str">
        <f>"TIOGA"</f>
        <v>TIOGA</v>
      </c>
      <c r="E328">
        <v>24.45</v>
      </c>
      <c r="F328">
        <v>25.33</v>
      </c>
      <c r="G328">
        <v>27.57</v>
      </c>
      <c r="H328">
        <v>269.35</v>
      </c>
      <c r="I328">
        <v>27.74</v>
      </c>
      <c r="J328">
        <v>27.52</v>
      </c>
      <c r="K328">
        <v>164.44</v>
      </c>
      <c r="L328">
        <v>0</v>
      </c>
      <c r="M328">
        <v>21.56</v>
      </c>
      <c r="N328">
        <v>23.99</v>
      </c>
      <c r="O328">
        <v>275.3</v>
      </c>
    </row>
    <row r="329" spans="1:15" ht="15">
      <c r="A329" t="str">
        <f>"0177646154"</f>
        <v>0177646154</v>
      </c>
      <c r="B329" t="s">
        <v>103</v>
      </c>
      <c r="C329" t="str">
        <f t="shared" si="27"/>
        <v>16/01/01</v>
      </c>
      <c r="D329" t="str">
        <f>"TOMPKINS"</f>
        <v>TOMPKINS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10.96</v>
      </c>
      <c r="N329">
        <v>13.13</v>
      </c>
      <c r="O329">
        <v>120.43</v>
      </c>
    </row>
    <row r="330" spans="1:15" ht="15">
      <c r="A330" t="str">
        <f>"0080671754"</f>
        <v>0080671754</v>
      </c>
      <c r="B330" t="s">
        <v>24</v>
      </c>
      <c r="C330" t="str">
        <f t="shared" si="27"/>
        <v>16/01/01</v>
      </c>
      <c r="D330" t="str">
        <f>"TOMPKINS"</f>
        <v>TOMPKINS</v>
      </c>
      <c r="E330">
        <v>22.89</v>
      </c>
      <c r="F330">
        <v>23.2</v>
      </c>
      <c r="G330">
        <v>0</v>
      </c>
      <c r="H330">
        <v>0</v>
      </c>
      <c r="I330">
        <v>0</v>
      </c>
      <c r="J330">
        <v>0</v>
      </c>
      <c r="K330">
        <v>72.32</v>
      </c>
      <c r="L330">
        <v>0</v>
      </c>
      <c r="M330">
        <v>0</v>
      </c>
      <c r="N330">
        <v>0</v>
      </c>
      <c r="O330">
        <v>0</v>
      </c>
    </row>
    <row r="331" spans="1:15" ht="15">
      <c r="A331" t="str">
        <f>"0105243754"</f>
        <v>0105243754</v>
      </c>
      <c r="B331" t="s">
        <v>55</v>
      </c>
      <c r="C331" t="str">
        <f t="shared" si="27"/>
        <v>16/01/01</v>
      </c>
      <c r="D331" t="str">
        <f>"TOMPKINS"</f>
        <v>TOMPKINS</v>
      </c>
      <c r="E331">
        <v>21.88</v>
      </c>
      <c r="F331">
        <v>21.27</v>
      </c>
      <c r="G331">
        <v>27.58</v>
      </c>
      <c r="H331">
        <v>269.74</v>
      </c>
      <c r="I331">
        <v>27.36</v>
      </c>
      <c r="J331">
        <v>27.54</v>
      </c>
      <c r="K331">
        <v>154.7</v>
      </c>
      <c r="L331">
        <v>0</v>
      </c>
      <c r="M331">
        <v>21.59</v>
      </c>
      <c r="N331">
        <v>24.01</v>
      </c>
      <c r="O331">
        <v>275.39</v>
      </c>
    </row>
    <row r="332" spans="1:15" ht="15">
      <c r="A332" t="str">
        <f>"0128098255"</f>
        <v>0128098255</v>
      </c>
      <c r="B332" t="s">
        <v>69</v>
      </c>
      <c r="C332" t="str">
        <f t="shared" si="27"/>
        <v>16/01/01</v>
      </c>
      <c r="D332" t="str">
        <f aca="true" t="shared" si="28" ref="D332:D342">"ULSTER"</f>
        <v>ULSTER</v>
      </c>
      <c r="E332">
        <v>28.81</v>
      </c>
      <c r="F332">
        <v>20.27</v>
      </c>
      <c r="G332">
        <v>28.81</v>
      </c>
      <c r="H332">
        <v>232</v>
      </c>
      <c r="I332">
        <v>28.81</v>
      </c>
      <c r="J332">
        <v>28.81</v>
      </c>
      <c r="K332">
        <v>157.89</v>
      </c>
      <c r="L332">
        <v>139.55</v>
      </c>
      <c r="M332">
        <v>24.44</v>
      </c>
      <c r="N332">
        <v>26.04</v>
      </c>
      <c r="O332">
        <v>236.62</v>
      </c>
    </row>
    <row r="333" spans="1:15" ht="15">
      <c r="A333" t="str">
        <f>"0173848555"</f>
        <v>0173848555</v>
      </c>
      <c r="B333" t="s">
        <v>97</v>
      </c>
      <c r="C333" t="str">
        <f t="shared" si="27"/>
        <v>16/01/01</v>
      </c>
      <c r="D333" t="str">
        <f t="shared" si="28"/>
        <v>ULSTER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17.28</v>
      </c>
      <c r="N333">
        <v>0</v>
      </c>
      <c r="O333">
        <v>0</v>
      </c>
    </row>
    <row r="334" spans="1:15" ht="15">
      <c r="A334" t="str">
        <f>"0099143355"</f>
        <v>0099143355</v>
      </c>
      <c r="B334" t="s">
        <v>49</v>
      </c>
      <c r="C334" t="str">
        <f t="shared" si="27"/>
        <v>16/01/01</v>
      </c>
      <c r="D334" t="str">
        <f t="shared" si="28"/>
        <v>ULSTER</v>
      </c>
      <c r="E334">
        <v>20.67</v>
      </c>
      <c r="F334">
        <v>21.97</v>
      </c>
      <c r="G334">
        <v>24.79</v>
      </c>
      <c r="H334">
        <v>294.36</v>
      </c>
      <c r="I334">
        <v>31.09</v>
      </c>
      <c r="J334">
        <v>27.03</v>
      </c>
      <c r="K334">
        <v>142.91</v>
      </c>
      <c r="L334">
        <v>166.29</v>
      </c>
      <c r="M334">
        <v>18.2</v>
      </c>
      <c r="N334">
        <v>25.53</v>
      </c>
      <c r="O334">
        <v>304.54</v>
      </c>
    </row>
    <row r="335" spans="1:15" ht="15">
      <c r="A335" t="str">
        <f>"0116304255"</f>
        <v>0116304255</v>
      </c>
      <c r="B335" t="s">
        <v>63</v>
      </c>
      <c r="C335" t="str">
        <f t="shared" si="27"/>
        <v>16/01/01</v>
      </c>
      <c r="D335" t="str">
        <f t="shared" si="28"/>
        <v>ULSTER</v>
      </c>
      <c r="E335">
        <v>20.72</v>
      </c>
      <c r="F335">
        <v>21.07</v>
      </c>
      <c r="G335">
        <v>22.19</v>
      </c>
      <c r="H335">
        <v>188.26</v>
      </c>
      <c r="I335">
        <v>20.1</v>
      </c>
      <c r="J335">
        <v>19.31</v>
      </c>
      <c r="K335">
        <v>90.31</v>
      </c>
      <c r="L335">
        <v>85.47</v>
      </c>
      <c r="M335">
        <v>18.29</v>
      </c>
      <c r="N335">
        <v>19.89</v>
      </c>
      <c r="O335">
        <v>223.49</v>
      </c>
    </row>
    <row r="336" spans="1:15" ht="15">
      <c r="A336" t="str">
        <f>"0094476155"</f>
        <v>0094476155</v>
      </c>
      <c r="B336" t="s">
        <v>42</v>
      </c>
      <c r="C336" t="str">
        <f t="shared" si="27"/>
        <v>16/01/01</v>
      </c>
      <c r="D336" t="str">
        <f t="shared" si="28"/>
        <v>ULSTER</v>
      </c>
      <c r="E336">
        <v>0</v>
      </c>
      <c r="F336">
        <v>20.65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</row>
    <row r="337" spans="1:15" ht="15">
      <c r="A337" t="str">
        <f>"0324945655"</f>
        <v>0324945655</v>
      </c>
      <c r="B337" t="s">
        <v>149</v>
      </c>
      <c r="C337" t="str">
        <f t="shared" si="27"/>
        <v>16/01/01</v>
      </c>
      <c r="D337" t="str">
        <f t="shared" si="28"/>
        <v>ULSTER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19.69</v>
      </c>
      <c r="N337">
        <v>0</v>
      </c>
      <c r="O337">
        <v>0</v>
      </c>
    </row>
    <row r="338" spans="1:15" ht="15">
      <c r="A338" t="str">
        <f>"0173893055"</f>
        <v>0173893055</v>
      </c>
      <c r="B338" t="s">
        <v>98</v>
      </c>
      <c r="C338" t="str">
        <f t="shared" si="27"/>
        <v>16/01/01</v>
      </c>
      <c r="D338" t="str">
        <f t="shared" si="28"/>
        <v>ULSTER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16.38</v>
      </c>
      <c r="N338">
        <v>0</v>
      </c>
      <c r="O338">
        <v>0</v>
      </c>
    </row>
    <row r="339" spans="1:15" ht="15">
      <c r="A339" t="str">
        <f>"0091059055"</f>
        <v>0091059055</v>
      </c>
      <c r="B339" t="s">
        <v>36</v>
      </c>
      <c r="C339" t="str">
        <f t="shared" si="27"/>
        <v>16/01/01</v>
      </c>
      <c r="D339" t="str">
        <f t="shared" si="28"/>
        <v>ULSTER</v>
      </c>
      <c r="E339">
        <v>21.31</v>
      </c>
      <c r="F339">
        <v>20.95</v>
      </c>
      <c r="G339">
        <v>23.92</v>
      </c>
      <c r="H339">
        <v>263.49</v>
      </c>
      <c r="I339">
        <v>24.74</v>
      </c>
      <c r="J339">
        <v>23.95</v>
      </c>
      <c r="K339">
        <v>101.59</v>
      </c>
      <c r="L339">
        <v>97.9</v>
      </c>
      <c r="M339">
        <v>18.56</v>
      </c>
      <c r="N339">
        <v>20.76</v>
      </c>
      <c r="O339">
        <v>238.77</v>
      </c>
    </row>
    <row r="340" spans="1:15" ht="15">
      <c r="A340" t="str">
        <f>"0174097255"</f>
        <v>0174097255</v>
      </c>
      <c r="B340" t="s">
        <v>99</v>
      </c>
      <c r="C340" t="str">
        <f t="shared" si="27"/>
        <v>16/01/01</v>
      </c>
      <c r="D340" t="str">
        <f t="shared" si="28"/>
        <v>ULSTER</v>
      </c>
      <c r="E340">
        <v>21.36</v>
      </c>
      <c r="F340">
        <v>21.02</v>
      </c>
      <c r="G340">
        <v>20.89</v>
      </c>
      <c r="H340">
        <v>259.16</v>
      </c>
      <c r="I340">
        <v>18.4</v>
      </c>
      <c r="J340">
        <v>13.37</v>
      </c>
      <c r="K340">
        <v>93.57</v>
      </c>
      <c r="L340">
        <v>71.61</v>
      </c>
      <c r="M340">
        <v>24.97</v>
      </c>
      <c r="N340">
        <v>27.17</v>
      </c>
      <c r="O340">
        <v>282.62</v>
      </c>
    </row>
    <row r="341" spans="1:15" ht="15">
      <c r="A341" t="str">
        <f>"0091093055"</f>
        <v>0091093055</v>
      </c>
      <c r="B341" t="s">
        <v>37</v>
      </c>
      <c r="C341" t="str">
        <f t="shared" si="27"/>
        <v>16/01/01</v>
      </c>
      <c r="D341" t="str">
        <f t="shared" si="28"/>
        <v>ULSTER</v>
      </c>
      <c r="E341">
        <v>23.52</v>
      </c>
      <c r="F341">
        <v>24.07</v>
      </c>
      <c r="G341">
        <v>25.72</v>
      </c>
      <c r="H341">
        <v>0</v>
      </c>
      <c r="I341">
        <v>25.47</v>
      </c>
      <c r="J341">
        <v>24.67</v>
      </c>
      <c r="K341">
        <v>84.55</v>
      </c>
      <c r="L341">
        <v>84.55</v>
      </c>
      <c r="M341">
        <v>0</v>
      </c>
      <c r="N341">
        <v>0</v>
      </c>
      <c r="O341">
        <v>0</v>
      </c>
    </row>
    <row r="342" spans="1:15" ht="15">
      <c r="A342" t="str">
        <f>"0035491255"</f>
        <v>0035491255</v>
      </c>
      <c r="B342" t="s">
        <v>7</v>
      </c>
      <c r="C342" t="str">
        <f t="shared" si="27"/>
        <v>16/01/01</v>
      </c>
      <c r="D342" t="str">
        <f t="shared" si="28"/>
        <v>ULSTER</v>
      </c>
      <c r="E342">
        <v>18.67</v>
      </c>
      <c r="F342">
        <v>19.96</v>
      </c>
      <c r="G342">
        <v>21.34</v>
      </c>
      <c r="H342">
        <v>225.3</v>
      </c>
      <c r="I342">
        <v>28.87</v>
      </c>
      <c r="J342">
        <v>28.08</v>
      </c>
      <c r="K342">
        <v>134.62</v>
      </c>
      <c r="L342">
        <v>133.26</v>
      </c>
      <c r="M342">
        <v>16.1</v>
      </c>
      <c r="N342">
        <v>25.67</v>
      </c>
      <c r="O342">
        <v>199.76</v>
      </c>
    </row>
    <row r="343" spans="1:15" ht="15">
      <c r="A343" t="str">
        <f>"0179301756"</f>
        <v>0179301756</v>
      </c>
      <c r="B343" t="s">
        <v>106</v>
      </c>
      <c r="C343" t="str">
        <f t="shared" si="27"/>
        <v>16/01/01</v>
      </c>
      <c r="D343" t="str">
        <f aca="true" t="shared" si="29" ref="D343:D348">"WARREN"</f>
        <v>WARREN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15.03</v>
      </c>
      <c r="N343">
        <v>19.76</v>
      </c>
      <c r="O343">
        <v>0</v>
      </c>
    </row>
    <row r="344" spans="1:15" ht="15">
      <c r="A344" t="str">
        <f>"0240779856"</f>
        <v>0240779856</v>
      </c>
      <c r="B344" t="s">
        <v>133</v>
      </c>
      <c r="C344" t="str">
        <f t="shared" si="27"/>
        <v>16/01/01</v>
      </c>
      <c r="D344" t="str">
        <f t="shared" si="29"/>
        <v>WARREN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17.73</v>
      </c>
      <c r="N344">
        <v>21.02</v>
      </c>
      <c r="O344">
        <v>229.49</v>
      </c>
    </row>
    <row r="345" spans="1:15" ht="15">
      <c r="A345" t="str">
        <f>"0215044356"</f>
        <v>0215044356</v>
      </c>
      <c r="B345" t="s">
        <v>120</v>
      </c>
      <c r="C345" t="str">
        <f t="shared" si="27"/>
        <v>16/01/01</v>
      </c>
      <c r="D345" t="str">
        <f t="shared" si="29"/>
        <v>WARREN</v>
      </c>
      <c r="E345">
        <v>21.63</v>
      </c>
      <c r="F345">
        <v>21.99</v>
      </c>
      <c r="G345">
        <v>0</v>
      </c>
      <c r="H345">
        <v>0</v>
      </c>
      <c r="I345">
        <v>0</v>
      </c>
      <c r="J345">
        <v>0</v>
      </c>
      <c r="K345">
        <v>91.09</v>
      </c>
      <c r="L345">
        <v>89.57</v>
      </c>
      <c r="M345">
        <v>0</v>
      </c>
      <c r="N345">
        <v>0</v>
      </c>
      <c r="O345">
        <v>0</v>
      </c>
    </row>
    <row r="346" spans="1:15" ht="15">
      <c r="A346" t="str">
        <f>"0035807656"</f>
        <v>0035807656</v>
      </c>
      <c r="B346" t="s">
        <v>9</v>
      </c>
      <c r="C346" t="str">
        <f t="shared" si="27"/>
        <v>16/01/01</v>
      </c>
      <c r="D346" t="str">
        <f t="shared" si="29"/>
        <v>WARREN</v>
      </c>
      <c r="E346">
        <v>20.85</v>
      </c>
      <c r="F346">
        <v>21.52</v>
      </c>
      <c r="G346">
        <v>0</v>
      </c>
      <c r="H346">
        <v>0</v>
      </c>
      <c r="I346">
        <v>0</v>
      </c>
      <c r="J346">
        <v>0</v>
      </c>
      <c r="K346">
        <v>156.11</v>
      </c>
      <c r="L346">
        <v>159.87</v>
      </c>
      <c r="M346">
        <v>17.73</v>
      </c>
      <c r="N346">
        <v>19.79</v>
      </c>
      <c r="O346">
        <v>0</v>
      </c>
    </row>
    <row r="347" spans="1:15" ht="15">
      <c r="A347" t="str">
        <f>"0089173656"</f>
        <v>0089173656</v>
      </c>
      <c r="B347" t="s">
        <v>32</v>
      </c>
      <c r="C347" t="str">
        <f t="shared" si="27"/>
        <v>16/01/01</v>
      </c>
      <c r="D347" t="str">
        <f t="shared" si="29"/>
        <v>WARREN</v>
      </c>
      <c r="E347">
        <v>22.48</v>
      </c>
      <c r="F347">
        <v>22.78</v>
      </c>
      <c r="G347">
        <v>0</v>
      </c>
      <c r="H347">
        <v>0</v>
      </c>
      <c r="I347">
        <v>0</v>
      </c>
      <c r="J347">
        <v>0</v>
      </c>
      <c r="K347">
        <v>103.26</v>
      </c>
      <c r="L347">
        <v>0</v>
      </c>
      <c r="M347">
        <v>0</v>
      </c>
      <c r="N347">
        <v>0</v>
      </c>
      <c r="O347">
        <v>0</v>
      </c>
    </row>
    <row r="348" spans="1:15" ht="15">
      <c r="A348" t="str">
        <f>"0170109156"</f>
        <v>0170109156</v>
      </c>
      <c r="B348" t="s">
        <v>91</v>
      </c>
      <c r="C348" t="str">
        <f t="shared" si="27"/>
        <v>16/01/01</v>
      </c>
      <c r="D348" t="str">
        <f t="shared" si="29"/>
        <v>WARREN</v>
      </c>
      <c r="E348">
        <v>21.24</v>
      </c>
      <c r="F348">
        <v>21.56</v>
      </c>
      <c r="G348">
        <v>23.11</v>
      </c>
      <c r="H348">
        <v>338.17</v>
      </c>
      <c r="I348">
        <v>23.11</v>
      </c>
      <c r="J348">
        <v>23.11</v>
      </c>
      <c r="K348">
        <v>84.56</v>
      </c>
      <c r="L348">
        <v>84.56</v>
      </c>
      <c r="M348">
        <v>18.56</v>
      </c>
      <c r="N348">
        <v>20.15</v>
      </c>
      <c r="O348">
        <v>296.57</v>
      </c>
    </row>
    <row r="349" spans="1:15" ht="15">
      <c r="A349" t="str">
        <f>"0179301757"</f>
        <v>0179301757</v>
      </c>
      <c r="B349" t="s">
        <v>106</v>
      </c>
      <c r="C349" t="str">
        <f t="shared" si="27"/>
        <v>16/01/01</v>
      </c>
      <c r="D349" t="str">
        <f>"WASHINGTON"</f>
        <v>WASHINGTON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15.72</v>
      </c>
      <c r="N349">
        <v>19.81</v>
      </c>
      <c r="O349">
        <v>0</v>
      </c>
    </row>
    <row r="350" spans="1:15" ht="15">
      <c r="A350" t="str">
        <f>"0215044357"</f>
        <v>0215044357</v>
      </c>
      <c r="B350" t="s">
        <v>120</v>
      </c>
      <c r="C350" t="str">
        <f t="shared" si="27"/>
        <v>16/01/01</v>
      </c>
      <c r="D350" t="str">
        <f>"WASHINGTON"</f>
        <v>WASHINGTON</v>
      </c>
      <c r="E350">
        <v>21.7</v>
      </c>
      <c r="F350">
        <v>22.03</v>
      </c>
      <c r="G350">
        <v>0</v>
      </c>
      <c r="H350">
        <v>0</v>
      </c>
      <c r="I350">
        <v>0</v>
      </c>
      <c r="J350">
        <v>0</v>
      </c>
      <c r="K350">
        <v>92.18</v>
      </c>
      <c r="L350">
        <v>91.16</v>
      </c>
      <c r="M350">
        <v>0</v>
      </c>
      <c r="N350">
        <v>0</v>
      </c>
      <c r="O350">
        <v>0</v>
      </c>
    </row>
    <row r="351" spans="1:15" ht="15">
      <c r="A351" t="str">
        <f>"0296979957"</f>
        <v>0296979957</v>
      </c>
      <c r="B351" t="s">
        <v>143</v>
      </c>
      <c r="C351" t="str">
        <f t="shared" si="27"/>
        <v>16/01/01</v>
      </c>
      <c r="D351" t="str">
        <f>"WASHINGTON"</f>
        <v>WASHINGTON</v>
      </c>
      <c r="E351">
        <v>20.5</v>
      </c>
      <c r="F351">
        <v>20.82</v>
      </c>
      <c r="G351">
        <v>0</v>
      </c>
      <c r="H351">
        <v>0</v>
      </c>
      <c r="I351">
        <v>0</v>
      </c>
      <c r="J351">
        <v>0</v>
      </c>
      <c r="K351">
        <v>49.68</v>
      </c>
      <c r="L351">
        <v>49.44</v>
      </c>
      <c r="M351">
        <v>0</v>
      </c>
      <c r="N351">
        <v>0</v>
      </c>
      <c r="O351">
        <v>0</v>
      </c>
    </row>
    <row r="352" spans="1:15" ht="15">
      <c r="A352" t="str">
        <f>"0035807657"</f>
        <v>0035807657</v>
      </c>
      <c r="B352" t="s">
        <v>9</v>
      </c>
      <c r="C352" t="str">
        <f t="shared" si="27"/>
        <v>16/01/01</v>
      </c>
      <c r="D352" t="str">
        <f>"WASHINGTON"</f>
        <v>WASHINGTON</v>
      </c>
      <c r="E352">
        <v>21.96</v>
      </c>
      <c r="F352">
        <v>21.85</v>
      </c>
      <c r="G352">
        <v>0</v>
      </c>
      <c r="H352">
        <v>0</v>
      </c>
      <c r="I352">
        <v>0</v>
      </c>
      <c r="J352">
        <v>0</v>
      </c>
      <c r="K352">
        <v>152.76</v>
      </c>
      <c r="L352">
        <v>155.95</v>
      </c>
      <c r="M352">
        <v>17.84</v>
      </c>
      <c r="N352">
        <v>20.09</v>
      </c>
      <c r="O352">
        <v>0</v>
      </c>
    </row>
    <row r="353" spans="1:15" ht="15">
      <c r="A353" t="str">
        <f>"0170109157"</f>
        <v>0170109157</v>
      </c>
      <c r="B353" t="s">
        <v>91</v>
      </c>
      <c r="C353" t="str">
        <f t="shared" si="27"/>
        <v>16/01/01</v>
      </c>
      <c r="D353" t="str">
        <f>"WASHINGTON"</f>
        <v>WASHINGTON</v>
      </c>
      <c r="E353">
        <v>21.25</v>
      </c>
      <c r="F353">
        <v>21.56</v>
      </c>
      <c r="G353">
        <v>23.13</v>
      </c>
      <c r="H353">
        <v>339.02</v>
      </c>
      <c r="I353">
        <v>23.13</v>
      </c>
      <c r="J353">
        <v>23.12</v>
      </c>
      <c r="K353">
        <v>84.56</v>
      </c>
      <c r="L353">
        <v>84.56</v>
      </c>
      <c r="M353">
        <v>18.56</v>
      </c>
      <c r="N353">
        <v>20.15</v>
      </c>
      <c r="O353">
        <v>297.15</v>
      </c>
    </row>
    <row r="354" spans="1:15" ht="15">
      <c r="A354" t="str">
        <f>"0194568858"</f>
        <v>0194568858</v>
      </c>
      <c r="B354" t="s">
        <v>114</v>
      </c>
      <c r="C354" t="str">
        <f t="shared" si="27"/>
        <v>16/01/01</v>
      </c>
      <c r="D354" t="str">
        <f>"WAYNE"</f>
        <v>WAYNE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15.88</v>
      </c>
      <c r="N354">
        <v>19.66</v>
      </c>
      <c r="O354">
        <v>0</v>
      </c>
    </row>
    <row r="355" spans="1:15" ht="15">
      <c r="A355" t="str">
        <f>"0147051158"</f>
        <v>0147051158</v>
      </c>
      <c r="B355" t="s">
        <v>79</v>
      </c>
      <c r="C355" t="str">
        <f t="shared" si="27"/>
        <v>16/01/01</v>
      </c>
      <c r="D355" t="str">
        <f>"WAYNE"</f>
        <v>WAYNE</v>
      </c>
      <c r="E355">
        <v>25.23</v>
      </c>
      <c r="F355">
        <v>25.84</v>
      </c>
      <c r="G355">
        <v>28.83</v>
      </c>
      <c r="H355">
        <v>0</v>
      </c>
      <c r="I355">
        <v>27.15</v>
      </c>
      <c r="J355">
        <v>28.93</v>
      </c>
      <c r="K355">
        <v>130.21</v>
      </c>
      <c r="L355">
        <v>130.2</v>
      </c>
      <c r="M355">
        <v>0</v>
      </c>
      <c r="N355">
        <v>0</v>
      </c>
      <c r="O355">
        <v>0</v>
      </c>
    </row>
    <row r="356" spans="1:15" ht="15">
      <c r="A356" t="str">
        <f>"0417181758"</f>
        <v>0417181758</v>
      </c>
      <c r="B356" t="s">
        <v>166</v>
      </c>
      <c r="C356" t="str">
        <f t="shared" si="27"/>
        <v>16/01/01</v>
      </c>
      <c r="D356" t="str">
        <f>"WAYNE"</f>
        <v>WAYNE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20.04</v>
      </c>
      <c r="N356">
        <v>0</v>
      </c>
      <c r="O356">
        <v>0</v>
      </c>
    </row>
    <row r="357" spans="1:15" ht="15">
      <c r="A357" t="str">
        <f>"0054673659"</f>
        <v>0054673659</v>
      </c>
      <c r="B357" t="s">
        <v>15</v>
      </c>
      <c r="C357" t="str">
        <f t="shared" si="27"/>
        <v>16/01/01</v>
      </c>
      <c r="D357" t="str">
        <f aca="true" t="shared" si="30" ref="D357:D391">"WESTCHESTER"</f>
        <v>WESTCHESTER</v>
      </c>
      <c r="E357">
        <v>20.24</v>
      </c>
      <c r="F357">
        <v>20.44</v>
      </c>
      <c r="G357">
        <v>20.67</v>
      </c>
      <c r="H357">
        <v>252.39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</row>
    <row r="358" spans="1:15" ht="15">
      <c r="A358" t="str">
        <f>"0296748059"</f>
        <v>0296748059</v>
      </c>
      <c r="B358" t="s">
        <v>141</v>
      </c>
      <c r="C358" t="str">
        <f t="shared" si="27"/>
        <v>16/01/01</v>
      </c>
      <c r="D358" t="str">
        <f t="shared" si="30"/>
        <v>WESTCHESTER</v>
      </c>
      <c r="E358">
        <v>19.85</v>
      </c>
      <c r="F358">
        <v>24.35</v>
      </c>
      <c r="G358">
        <v>19.85</v>
      </c>
      <c r="H358">
        <v>271.75</v>
      </c>
      <c r="I358">
        <v>19.85</v>
      </c>
      <c r="J358">
        <v>19.85</v>
      </c>
      <c r="K358">
        <v>90.72</v>
      </c>
      <c r="L358">
        <v>0</v>
      </c>
      <c r="M358">
        <v>19.24</v>
      </c>
      <c r="N358">
        <v>20.99</v>
      </c>
      <c r="O358">
        <v>0</v>
      </c>
    </row>
    <row r="359" spans="1:15" ht="15">
      <c r="A359" t="str">
        <f>"0035467859"</f>
        <v>0035467859</v>
      </c>
      <c r="B359" t="s">
        <v>4</v>
      </c>
      <c r="C359" t="str">
        <f t="shared" si="27"/>
        <v>16/01/01</v>
      </c>
      <c r="D359" t="str">
        <f t="shared" si="30"/>
        <v>WESTCHESTER</v>
      </c>
      <c r="E359">
        <v>28.03</v>
      </c>
      <c r="F359">
        <v>23.67</v>
      </c>
      <c r="G359">
        <v>39.15</v>
      </c>
      <c r="H359">
        <v>297.42</v>
      </c>
      <c r="I359">
        <v>36.58</v>
      </c>
      <c r="J359">
        <v>0</v>
      </c>
      <c r="K359">
        <v>74.99</v>
      </c>
      <c r="L359">
        <v>0</v>
      </c>
      <c r="M359">
        <v>25.75</v>
      </c>
      <c r="N359">
        <v>26.82</v>
      </c>
      <c r="O359">
        <v>326.31</v>
      </c>
    </row>
    <row r="360" spans="1:15" ht="15">
      <c r="A360" t="str">
        <f>"0099157559"</f>
        <v>0099157559</v>
      </c>
      <c r="B360" t="s">
        <v>51</v>
      </c>
      <c r="C360" t="str">
        <f t="shared" si="27"/>
        <v>16/01/01</v>
      </c>
      <c r="D360" t="str">
        <f t="shared" si="30"/>
        <v>WESTCHESTER</v>
      </c>
      <c r="E360">
        <v>28.61</v>
      </c>
      <c r="F360">
        <v>23.86</v>
      </c>
      <c r="G360">
        <v>26.22</v>
      </c>
      <c r="H360">
        <v>253.42</v>
      </c>
      <c r="I360">
        <v>31.11</v>
      </c>
      <c r="J360">
        <v>32.31</v>
      </c>
      <c r="K360">
        <v>181.02</v>
      </c>
      <c r="L360">
        <v>181.02</v>
      </c>
      <c r="M360">
        <v>20.15</v>
      </c>
      <c r="N360">
        <v>21.97</v>
      </c>
      <c r="O360">
        <v>241.77</v>
      </c>
    </row>
    <row r="361" spans="1:15" ht="15">
      <c r="A361" t="str">
        <f>"0354909359"</f>
        <v>0354909359</v>
      </c>
      <c r="B361" t="s">
        <v>157</v>
      </c>
      <c r="C361" t="str">
        <f t="shared" si="27"/>
        <v>16/01/01</v>
      </c>
      <c r="D361" t="str">
        <f t="shared" si="30"/>
        <v>WESTCHESTER</v>
      </c>
      <c r="E361">
        <v>24.41</v>
      </c>
      <c r="F361">
        <v>24.82</v>
      </c>
      <c r="G361">
        <v>0</v>
      </c>
      <c r="H361">
        <v>308.43</v>
      </c>
      <c r="I361">
        <v>44.66</v>
      </c>
      <c r="J361">
        <v>39.2</v>
      </c>
      <c r="K361">
        <v>181.02</v>
      </c>
      <c r="L361">
        <v>0</v>
      </c>
      <c r="M361">
        <v>33.11</v>
      </c>
      <c r="N361">
        <v>32.51</v>
      </c>
      <c r="O361">
        <v>204.82</v>
      </c>
    </row>
    <row r="362" spans="1:15" ht="15">
      <c r="A362" t="str">
        <f>"0413723959"</f>
        <v>0413723959</v>
      </c>
      <c r="B362" t="s">
        <v>163</v>
      </c>
      <c r="C362" t="str">
        <f t="shared" si="27"/>
        <v>16/01/01</v>
      </c>
      <c r="D362" t="str">
        <f t="shared" si="30"/>
        <v>WESTCHESTER</v>
      </c>
      <c r="E362">
        <v>1.09</v>
      </c>
      <c r="F362">
        <v>1.09</v>
      </c>
      <c r="G362">
        <v>0</v>
      </c>
      <c r="H362">
        <v>1.09</v>
      </c>
      <c r="I362">
        <v>1.09</v>
      </c>
      <c r="J362">
        <v>1.09</v>
      </c>
      <c r="K362">
        <v>1.09</v>
      </c>
      <c r="L362">
        <v>1.09</v>
      </c>
      <c r="M362">
        <v>1.09</v>
      </c>
      <c r="N362">
        <v>1.09</v>
      </c>
      <c r="O362">
        <v>1.09</v>
      </c>
    </row>
    <row r="363" spans="1:15" ht="15">
      <c r="A363" t="str">
        <f>"0084696059"</f>
        <v>0084696059</v>
      </c>
      <c r="B363" t="s">
        <v>29</v>
      </c>
      <c r="C363" t="str">
        <f t="shared" si="27"/>
        <v>16/01/01</v>
      </c>
      <c r="D363" t="str">
        <f t="shared" si="30"/>
        <v>WESTCHESTER</v>
      </c>
      <c r="E363">
        <v>17.65</v>
      </c>
      <c r="F363">
        <v>18.94</v>
      </c>
      <c r="G363">
        <v>23.86</v>
      </c>
      <c r="H363">
        <v>209.35</v>
      </c>
      <c r="I363">
        <v>20.24</v>
      </c>
      <c r="J363">
        <v>20.19</v>
      </c>
      <c r="K363">
        <v>0</v>
      </c>
      <c r="L363">
        <v>0</v>
      </c>
      <c r="M363">
        <v>18.81</v>
      </c>
      <c r="N363">
        <v>25.54</v>
      </c>
      <c r="O363">
        <v>225.26</v>
      </c>
    </row>
    <row r="364" spans="1:15" ht="15">
      <c r="A364" t="str">
        <f>"0099143359"</f>
        <v>0099143359</v>
      </c>
      <c r="B364" t="s">
        <v>49</v>
      </c>
      <c r="C364" t="str">
        <f t="shared" si="27"/>
        <v>16/01/01</v>
      </c>
      <c r="D364" t="str">
        <f t="shared" si="30"/>
        <v>WESTCHESTER</v>
      </c>
      <c r="E364">
        <v>22.08</v>
      </c>
      <c r="F364">
        <v>22.88</v>
      </c>
      <c r="G364">
        <v>29.95</v>
      </c>
      <c r="H364">
        <v>267.05</v>
      </c>
      <c r="I364">
        <v>36.86</v>
      </c>
      <c r="J364">
        <v>31</v>
      </c>
      <c r="K364">
        <v>181.03</v>
      </c>
      <c r="L364">
        <v>181.03</v>
      </c>
      <c r="M364">
        <v>20.41</v>
      </c>
      <c r="N364">
        <v>21.76</v>
      </c>
      <c r="O364">
        <v>267.32</v>
      </c>
    </row>
    <row r="365" spans="1:15" ht="15">
      <c r="A365" t="str">
        <f>"0331460159"</f>
        <v>0331460159</v>
      </c>
      <c r="B365" t="s">
        <v>153</v>
      </c>
      <c r="C365" t="str">
        <f t="shared" si="27"/>
        <v>16/01/01</v>
      </c>
      <c r="D365" t="str">
        <f t="shared" si="30"/>
        <v>WESTCHESTER</v>
      </c>
      <c r="E365">
        <v>20.31</v>
      </c>
      <c r="F365">
        <v>20.38</v>
      </c>
      <c r="G365">
        <v>35.23</v>
      </c>
      <c r="H365">
        <v>233.13</v>
      </c>
      <c r="I365">
        <v>37.28</v>
      </c>
      <c r="J365">
        <v>31.2</v>
      </c>
      <c r="K365">
        <v>171.93</v>
      </c>
      <c r="L365">
        <v>171.93</v>
      </c>
      <c r="M365">
        <v>27.91</v>
      </c>
      <c r="N365">
        <v>30.64</v>
      </c>
      <c r="O365">
        <v>350.5</v>
      </c>
    </row>
    <row r="366" spans="1:15" ht="15">
      <c r="A366" t="str">
        <f>"0078841859"</f>
        <v>0078841859</v>
      </c>
      <c r="B366" t="s">
        <v>23</v>
      </c>
      <c r="C366" t="str">
        <f t="shared" si="27"/>
        <v>16/01/01</v>
      </c>
      <c r="D366" t="str">
        <f t="shared" si="30"/>
        <v>WESTCHESTER</v>
      </c>
      <c r="E366">
        <v>20.41</v>
      </c>
      <c r="F366">
        <v>19.5</v>
      </c>
      <c r="G366">
        <v>26.56</v>
      </c>
      <c r="H366">
        <v>231.34</v>
      </c>
      <c r="I366">
        <v>26.56</v>
      </c>
      <c r="J366">
        <v>26.56</v>
      </c>
      <c r="K366">
        <v>0</v>
      </c>
      <c r="L366">
        <v>149.05</v>
      </c>
      <c r="M366">
        <v>24.16</v>
      </c>
      <c r="N366">
        <v>25.12</v>
      </c>
      <c r="O366">
        <v>289.07</v>
      </c>
    </row>
    <row r="367" spans="1:15" ht="15">
      <c r="A367" t="str">
        <f>"0166411759"</f>
        <v>0166411759</v>
      </c>
      <c r="B367" t="s">
        <v>88</v>
      </c>
      <c r="C367" t="str">
        <f t="shared" si="27"/>
        <v>16/01/01</v>
      </c>
      <c r="D367" t="str">
        <f t="shared" si="30"/>
        <v>WESTCHESTER</v>
      </c>
      <c r="E367">
        <v>23.39</v>
      </c>
      <c r="F367">
        <v>23.62</v>
      </c>
      <c r="G367">
        <v>25.69</v>
      </c>
      <c r="H367">
        <v>282.62</v>
      </c>
      <c r="I367">
        <v>27.83</v>
      </c>
      <c r="J367">
        <v>24.58</v>
      </c>
      <c r="K367">
        <v>126.14</v>
      </c>
      <c r="L367">
        <v>0</v>
      </c>
      <c r="M367">
        <v>24.49</v>
      </c>
      <c r="N367">
        <v>25.86</v>
      </c>
      <c r="O367">
        <v>230.73</v>
      </c>
    </row>
    <row r="368" spans="1:15" ht="15">
      <c r="A368" t="str">
        <f>"0240779859"</f>
        <v>0240779859</v>
      </c>
      <c r="B368" t="s">
        <v>132</v>
      </c>
      <c r="C368" t="str">
        <f t="shared" si="27"/>
        <v>16/01/01</v>
      </c>
      <c r="D368" t="str">
        <f t="shared" si="30"/>
        <v>WESTCHESTER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20.67</v>
      </c>
      <c r="N368">
        <v>21.26</v>
      </c>
      <c r="O368">
        <v>268.76</v>
      </c>
    </row>
    <row r="369" spans="1:15" ht="15">
      <c r="A369" t="str">
        <f>"0387725459"</f>
        <v>0387725459</v>
      </c>
      <c r="B369" t="s">
        <v>159</v>
      </c>
      <c r="C369" t="str">
        <f t="shared" si="27"/>
        <v>16/01/01</v>
      </c>
      <c r="D369" t="str">
        <f t="shared" si="30"/>
        <v>WESTCHESTER</v>
      </c>
      <c r="E369">
        <v>18.22</v>
      </c>
      <c r="F369">
        <v>18.22</v>
      </c>
      <c r="G369">
        <v>0</v>
      </c>
      <c r="H369">
        <v>183.93</v>
      </c>
      <c r="I369">
        <v>0</v>
      </c>
      <c r="J369">
        <v>0</v>
      </c>
      <c r="K369">
        <v>0</v>
      </c>
      <c r="L369">
        <v>97.04</v>
      </c>
      <c r="M369">
        <v>0</v>
      </c>
      <c r="N369">
        <v>0</v>
      </c>
      <c r="O369">
        <v>0</v>
      </c>
    </row>
    <row r="370" spans="1:15" ht="15">
      <c r="A370" t="str">
        <f>"0393790059"</f>
        <v>0393790059</v>
      </c>
      <c r="B370" t="s">
        <v>160</v>
      </c>
      <c r="C370" t="str">
        <f t="shared" si="27"/>
        <v>16/01/01</v>
      </c>
      <c r="D370" t="str">
        <f t="shared" si="30"/>
        <v>WESTCHESTER</v>
      </c>
      <c r="E370">
        <v>19.34</v>
      </c>
      <c r="F370">
        <v>19.62</v>
      </c>
      <c r="G370">
        <v>24.59</v>
      </c>
      <c r="H370">
        <v>265.9</v>
      </c>
      <c r="I370">
        <v>0</v>
      </c>
      <c r="J370">
        <v>0</v>
      </c>
      <c r="K370">
        <v>97.54</v>
      </c>
      <c r="L370">
        <v>97.54</v>
      </c>
      <c r="M370">
        <v>18.32</v>
      </c>
      <c r="N370">
        <v>0</v>
      </c>
      <c r="O370">
        <v>0</v>
      </c>
    </row>
    <row r="371" spans="1:15" ht="15">
      <c r="A371" t="str">
        <f>"0054661259"</f>
        <v>0054661259</v>
      </c>
      <c r="B371" t="s">
        <v>13</v>
      </c>
      <c r="C371" t="str">
        <f t="shared" si="27"/>
        <v>16/01/01</v>
      </c>
      <c r="D371" t="str">
        <f t="shared" si="30"/>
        <v>WESTCHESTER</v>
      </c>
      <c r="E371">
        <v>19.75</v>
      </c>
      <c r="F371">
        <v>20.25</v>
      </c>
      <c r="G371">
        <v>28.9</v>
      </c>
      <c r="H371">
        <v>246.86</v>
      </c>
      <c r="I371">
        <v>22.1</v>
      </c>
      <c r="J371">
        <v>22.07</v>
      </c>
      <c r="K371">
        <v>89.39</v>
      </c>
      <c r="L371">
        <v>89.19</v>
      </c>
      <c r="M371">
        <v>19.44</v>
      </c>
      <c r="N371">
        <v>25.53</v>
      </c>
      <c r="O371">
        <v>259.88</v>
      </c>
    </row>
    <row r="372" spans="1:15" ht="15">
      <c r="A372" t="str">
        <f>"0054660359"</f>
        <v>0054660359</v>
      </c>
      <c r="B372" t="s">
        <v>12</v>
      </c>
      <c r="C372" t="str">
        <f t="shared" si="27"/>
        <v>16/01/01</v>
      </c>
      <c r="D372" t="str">
        <f t="shared" si="30"/>
        <v>WESTCHESTER</v>
      </c>
      <c r="E372">
        <v>21.67</v>
      </c>
      <c r="F372">
        <v>22.19</v>
      </c>
      <c r="G372">
        <v>26.92</v>
      </c>
      <c r="H372">
        <v>265.45</v>
      </c>
      <c r="I372">
        <v>24.22</v>
      </c>
      <c r="J372">
        <v>24.63</v>
      </c>
      <c r="K372">
        <v>0</v>
      </c>
      <c r="L372">
        <v>0</v>
      </c>
      <c r="M372">
        <v>18.03</v>
      </c>
      <c r="N372">
        <v>21.41</v>
      </c>
      <c r="O372">
        <v>232.98</v>
      </c>
    </row>
    <row r="373" spans="1:15" ht="15">
      <c r="A373" t="str">
        <f>"0179472959"</f>
        <v>0179472959</v>
      </c>
      <c r="B373" t="s">
        <v>107</v>
      </c>
      <c r="C373" t="str">
        <f t="shared" si="27"/>
        <v>16/01/01</v>
      </c>
      <c r="D373" t="str">
        <f t="shared" si="30"/>
        <v>WESTCHESTER</v>
      </c>
      <c r="E373">
        <v>19.4</v>
      </c>
      <c r="F373">
        <v>20.59</v>
      </c>
      <c r="G373">
        <v>24.82</v>
      </c>
      <c r="H373">
        <v>251.78</v>
      </c>
      <c r="I373">
        <v>21.72</v>
      </c>
      <c r="J373">
        <v>23.6</v>
      </c>
      <c r="K373">
        <v>109.3</v>
      </c>
      <c r="L373">
        <v>115.49</v>
      </c>
      <c r="M373">
        <v>19.58</v>
      </c>
      <c r="N373">
        <v>20.46</v>
      </c>
      <c r="O373">
        <v>247.22</v>
      </c>
    </row>
    <row r="374" spans="1:15" ht="15">
      <c r="A374" t="str">
        <f>"0165664259"</f>
        <v>0165664259</v>
      </c>
      <c r="B374" t="s">
        <v>5</v>
      </c>
      <c r="C374" t="str">
        <f t="shared" si="27"/>
        <v>16/01/01</v>
      </c>
      <c r="D374" t="str">
        <f t="shared" si="30"/>
        <v>WESTCHESTER</v>
      </c>
      <c r="E374">
        <v>23.94</v>
      </c>
      <c r="F374">
        <v>25.01</v>
      </c>
      <c r="G374">
        <v>29.43</v>
      </c>
      <c r="H374">
        <v>315.87</v>
      </c>
      <c r="I374">
        <v>34.69</v>
      </c>
      <c r="J374">
        <v>33.41</v>
      </c>
      <c r="K374">
        <v>171.8</v>
      </c>
      <c r="L374">
        <v>171.8</v>
      </c>
      <c r="M374">
        <v>24.51</v>
      </c>
      <c r="N374">
        <v>25.22</v>
      </c>
      <c r="O374">
        <v>316.05</v>
      </c>
    </row>
    <row r="375" spans="1:15" ht="15">
      <c r="A375" t="str">
        <f>"0054665859"</f>
        <v>0054665859</v>
      </c>
      <c r="B375" t="s">
        <v>14</v>
      </c>
      <c r="C375" t="str">
        <f t="shared" si="27"/>
        <v>16/01/01</v>
      </c>
      <c r="D375" t="str">
        <f t="shared" si="30"/>
        <v>WESTCHESTER</v>
      </c>
      <c r="E375">
        <v>23.37</v>
      </c>
      <c r="F375">
        <v>23.37</v>
      </c>
      <c r="G375">
        <v>26.98</v>
      </c>
      <c r="H375">
        <v>277.19</v>
      </c>
      <c r="I375">
        <v>0</v>
      </c>
      <c r="J375">
        <v>0</v>
      </c>
      <c r="K375">
        <v>0</v>
      </c>
      <c r="L375">
        <v>0</v>
      </c>
      <c r="M375">
        <v>21.72</v>
      </c>
      <c r="N375">
        <v>22.4</v>
      </c>
      <c r="O375">
        <v>23.73</v>
      </c>
    </row>
    <row r="376" spans="1:15" ht="15">
      <c r="A376" t="str">
        <f>"0166968559"</f>
        <v>0166968559</v>
      </c>
      <c r="B376" t="s">
        <v>90</v>
      </c>
      <c r="C376" t="str">
        <f t="shared" si="27"/>
        <v>16/01/01</v>
      </c>
      <c r="D376" t="str">
        <f t="shared" si="30"/>
        <v>WESTCHESTER</v>
      </c>
      <c r="E376">
        <v>23.34</v>
      </c>
      <c r="F376">
        <v>25.34</v>
      </c>
      <c r="G376">
        <v>32.01</v>
      </c>
      <c r="H376">
        <v>239.92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</row>
    <row r="377" spans="1:15" ht="15">
      <c r="A377" t="str">
        <f>"0231917559"</f>
        <v>0231917559</v>
      </c>
      <c r="B377" t="s">
        <v>126</v>
      </c>
      <c r="C377" t="str">
        <f t="shared" si="27"/>
        <v>16/01/01</v>
      </c>
      <c r="D377" t="str">
        <f t="shared" si="30"/>
        <v>WESTCHESTER</v>
      </c>
      <c r="E377">
        <v>21.6</v>
      </c>
      <c r="F377">
        <v>26.12</v>
      </c>
      <c r="G377">
        <v>0</v>
      </c>
      <c r="H377">
        <v>271.75</v>
      </c>
      <c r="I377">
        <v>0</v>
      </c>
      <c r="J377">
        <v>0</v>
      </c>
      <c r="K377">
        <v>0</v>
      </c>
      <c r="L377">
        <v>0</v>
      </c>
      <c r="M377">
        <v>24.13</v>
      </c>
      <c r="N377">
        <v>21.54</v>
      </c>
      <c r="O377">
        <v>215.45</v>
      </c>
    </row>
    <row r="378" spans="1:15" ht="15">
      <c r="A378" t="str">
        <f>"0346749859"</f>
        <v>0346749859</v>
      </c>
      <c r="B378" t="s">
        <v>154</v>
      </c>
      <c r="C378" t="str">
        <f t="shared" si="27"/>
        <v>16/01/01</v>
      </c>
      <c r="D378" t="str">
        <f t="shared" si="30"/>
        <v>WESTCHESTER</v>
      </c>
      <c r="E378">
        <v>26.63</v>
      </c>
      <c r="F378">
        <v>25.9</v>
      </c>
      <c r="G378">
        <v>0</v>
      </c>
      <c r="H378">
        <v>27.17</v>
      </c>
      <c r="I378">
        <v>27.01</v>
      </c>
      <c r="J378">
        <v>27.17</v>
      </c>
      <c r="K378">
        <v>0</v>
      </c>
      <c r="L378">
        <v>0</v>
      </c>
      <c r="M378">
        <v>0</v>
      </c>
      <c r="N378">
        <v>0</v>
      </c>
      <c r="O378">
        <v>0</v>
      </c>
    </row>
    <row r="379" spans="1:15" ht="15">
      <c r="A379" t="str">
        <f>"0424503459"</f>
        <v>0424503459</v>
      </c>
      <c r="B379" t="s">
        <v>171</v>
      </c>
      <c r="C379" t="str">
        <f t="shared" si="27"/>
        <v>16/01/01</v>
      </c>
      <c r="D379" t="str">
        <f t="shared" si="30"/>
        <v>WESTCHESTER</v>
      </c>
      <c r="E379">
        <v>23.37</v>
      </c>
      <c r="F379">
        <v>23.98</v>
      </c>
      <c r="G379">
        <v>26.09</v>
      </c>
      <c r="H379">
        <v>282.62</v>
      </c>
      <c r="I379">
        <v>0</v>
      </c>
      <c r="J379">
        <v>0</v>
      </c>
      <c r="K379">
        <v>98.45</v>
      </c>
      <c r="L379">
        <v>98.44</v>
      </c>
      <c r="M379">
        <v>0</v>
      </c>
      <c r="N379">
        <v>0</v>
      </c>
      <c r="O379">
        <v>0</v>
      </c>
    </row>
    <row r="380" spans="1:15" ht="15">
      <c r="A380" t="str">
        <f>"0108728759"</f>
        <v>0108728759</v>
      </c>
      <c r="B380" t="s">
        <v>60</v>
      </c>
      <c r="C380" t="str">
        <f t="shared" si="27"/>
        <v>16/01/01</v>
      </c>
      <c r="D380" t="str">
        <f t="shared" si="30"/>
        <v>WESTCHESTER</v>
      </c>
      <c r="E380">
        <v>22.04</v>
      </c>
      <c r="F380">
        <v>22.34</v>
      </c>
      <c r="G380">
        <v>25.13</v>
      </c>
      <c r="H380">
        <v>260.88</v>
      </c>
      <c r="I380">
        <v>26.59</v>
      </c>
      <c r="J380">
        <v>25.91</v>
      </c>
      <c r="K380">
        <v>103.75</v>
      </c>
      <c r="L380">
        <v>0</v>
      </c>
      <c r="M380">
        <v>20.65</v>
      </c>
      <c r="N380">
        <v>21.36</v>
      </c>
      <c r="O380">
        <v>267.49</v>
      </c>
    </row>
    <row r="381" spans="1:15" ht="15">
      <c r="A381" t="str">
        <f>"0054668559"</f>
        <v>0054668559</v>
      </c>
      <c r="B381" t="s">
        <v>10</v>
      </c>
      <c r="C381" t="str">
        <f t="shared" si="27"/>
        <v>16/01/01</v>
      </c>
      <c r="D381" t="str">
        <f t="shared" si="30"/>
        <v>WESTCHESTER</v>
      </c>
      <c r="E381">
        <v>19.5</v>
      </c>
      <c r="F381">
        <v>19.11</v>
      </c>
      <c r="G381">
        <v>19.67</v>
      </c>
      <c r="H381">
        <v>231.26</v>
      </c>
      <c r="I381">
        <v>26.33</v>
      </c>
      <c r="J381">
        <v>23.58</v>
      </c>
      <c r="K381">
        <v>90.53</v>
      </c>
      <c r="L381">
        <v>90.53</v>
      </c>
      <c r="M381">
        <v>19.64</v>
      </c>
      <c r="N381">
        <v>22.14</v>
      </c>
      <c r="O381">
        <v>250.89</v>
      </c>
    </row>
    <row r="382" spans="1:15" ht="15">
      <c r="A382" t="str">
        <f>"0166341459"</f>
        <v>0166341459</v>
      </c>
      <c r="B382" t="s">
        <v>87</v>
      </c>
      <c r="C382" t="str">
        <f t="shared" si="27"/>
        <v>16/01/01</v>
      </c>
      <c r="D382" t="str">
        <f t="shared" si="30"/>
        <v>WESTCHESTER</v>
      </c>
      <c r="E382">
        <v>18.67</v>
      </c>
      <c r="F382">
        <v>18.54</v>
      </c>
      <c r="G382">
        <v>20.46</v>
      </c>
      <c r="H382">
        <v>251.3</v>
      </c>
      <c r="I382">
        <v>0</v>
      </c>
      <c r="J382">
        <v>0</v>
      </c>
      <c r="K382">
        <v>90.51</v>
      </c>
      <c r="L382">
        <v>0</v>
      </c>
      <c r="M382">
        <v>0</v>
      </c>
      <c r="N382">
        <v>0</v>
      </c>
      <c r="O382">
        <v>0</v>
      </c>
    </row>
    <row r="383" spans="1:15" ht="15">
      <c r="A383" t="str">
        <f>"0172952459"</f>
        <v>0172952459</v>
      </c>
      <c r="B383" t="s">
        <v>95</v>
      </c>
      <c r="C383" t="str">
        <f t="shared" si="27"/>
        <v>16/01/01</v>
      </c>
      <c r="D383" t="str">
        <f t="shared" si="30"/>
        <v>WESTCHESTER</v>
      </c>
      <c r="E383">
        <v>19.69</v>
      </c>
      <c r="F383">
        <v>19.73</v>
      </c>
      <c r="G383">
        <v>22.04</v>
      </c>
      <c r="H383">
        <v>258.21</v>
      </c>
      <c r="I383">
        <v>22.04</v>
      </c>
      <c r="J383">
        <v>22.03</v>
      </c>
      <c r="K383">
        <v>73.94</v>
      </c>
      <c r="L383">
        <v>0</v>
      </c>
      <c r="M383">
        <v>20.22</v>
      </c>
      <c r="N383">
        <v>20.78</v>
      </c>
      <c r="O383">
        <v>262.85</v>
      </c>
    </row>
    <row r="384" spans="1:15" ht="15">
      <c r="A384" t="str">
        <f>"0098972659"</f>
        <v>0098972659</v>
      </c>
      <c r="B384" t="s">
        <v>6</v>
      </c>
      <c r="C384" t="str">
        <f t="shared" si="27"/>
        <v>16/01/01</v>
      </c>
      <c r="D384" t="str">
        <f t="shared" si="30"/>
        <v>WESTCHESTER</v>
      </c>
      <c r="E384">
        <v>18.24</v>
      </c>
      <c r="F384">
        <v>17.84</v>
      </c>
      <c r="G384">
        <v>24.22</v>
      </c>
      <c r="H384">
        <v>224.69</v>
      </c>
      <c r="I384">
        <v>26.98</v>
      </c>
      <c r="J384">
        <v>29.07</v>
      </c>
      <c r="K384">
        <v>122.74</v>
      </c>
      <c r="L384">
        <v>155.25</v>
      </c>
      <c r="M384">
        <v>19.21</v>
      </c>
      <c r="N384">
        <v>25.45</v>
      </c>
      <c r="O384">
        <v>248.15</v>
      </c>
    </row>
    <row r="385" spans="1:15" ht="15">
      <c r="A385" t="str">
        <f>"0108549659"</f>
        <v>0108549659</v>
      </c>
      <c r="B385" t="s">
        <v>59</v>
      </c>
      <c r="C385" t="str">
        <f t="shared" si="27"/>
        <v>16/01/01</v>
      </c>
      <c r="D385" t="str">
        <f t="shared" si="30"/>
        <v>WESTCHESTER</v>
      </c>
      <c r="E385">
        <v>25.97</v>
      </c>
      <c r="F385">
        <v>21.74</v>
      </c>
      <c r="G385">
        <v>34.33</v>
      </c>
      <c r="H385">
        <v>282.62</v>
      </c>
      <c r="I385">
        <v>26.98</v>
      </c>
      <c r="J385">
        <v>29.06</v>
      </c>
      <c r="K385">
        <v>148.52</v>
      </c>
      <c r="L385">
        <v>148.52</v>
      </c>
      <c r="M385">
        <v>20.06</v>
      </c>
      <c r="N385">
        <v>25.45</v>
      </c>
      <c r="O385">
        <v>260.71</v>
      </c>
    </row>
    <row r="386" spans="1:15" ht="15">
      <c r="A386" t="str">
        <f>"0404549259"</f>
        <v>0404549259</v>
      </c>
      <c r="B386" t="s">
        <v>162</v>
      </c>
      <c r="C386" t="str">
        <f t="shared" si="27"/>
        <v>16/01/01</v>
      </c>
      <c r="D386" t="str">
        <f t="shared" si="30"/>
        <v>WESTCHESTER</v>
      </c>
      <c r="E386">
        <v>25.57</v>
      </c>
      <c r="F386">
        <v>25.85</v>
      </c>
      <c r="G386">
        <v>0</v>
      </c>
      <c r="H386">
        <v>312.27</v>
      </c>
      <c r="I386">
        <v>27.17</v>
      </c>
      <c r="J386">
        <v>27.17</v>
      </c>
      <c r="K386">
        <v>0</v>
      </c>
      <c r="L386">
        <v>0</v>
      </c>
      <c r="M386">
        <v>24.44</v>
      </c>
      <c r="N386">
        <v>25.26</v>
      </c>
      <c r="O386">
        <v>310.71</v>
      </c>
    </row>
    <row r="387" spans="1:15" ht="15">
      <c r="A387" t="str">
        <f>"0035491259"</f>
        <v>0035491259</v>
      </c>
      <c r="B387" t="s">
        <v>7</v>
      </c>
      <c r="C387" t="str">
        <f t="shared" si="27"/>
        <v>16/01/01</v>
      </c>
      <c r="D387" t="str">
        <f t="shared" si="30"/>
        <v>WESTCHESTER</v>
      </c>
      <c r="E387">
        <v>23.36</v>
      </c>
      <c r="F387">
        <v>22.82</v>
      </c>
      <c r="G387">
        <v>26.49</v>
      </c>
      <c r="H387">
        <v>282.97</v>
      </c>
      <c r="I387">
        <v>36.07</v>
      </c>
      <c r="J387">
        <v>28.11</v>
      </c>
      <c r="K387">
        <v>169.43</v>
      </c>
      <c r="L387">
        <v>169.43</v>
      </c>
      <c r="M387">
        <v>20.2</v>
      </c>
      <c r="N387">
        <v>21.46</v>
      </c>
      <c r="O387">
        <v>260.25</v>
      </c>
    </row>
    <row r="388" spans="1:15" ht="15">
      <c r="A388" t="str">
        <f>"0078581959"</f>
        <v>0078581959</v>
      </c>
      <c r="B388" t="s">
        <v>22</v>
      </c>
      <c r="C388" t="str">
        <f t="shared" si="27"/>
        <v>16/01/01</v>
      </c>
      <c r="D388" t="str">
        <f t="shared" si="30"/>
        <v>WESTCHESTER</v>
      </c>
      <c r="E388">
        <v>22.32</v>
      </c>
      <c r="F388">
        <v>22.86</v>
      </c>
      <c r="G388">
        <v>26.76</v>
      </c>
      <c r="H388">
        <v>241.37</v>
      </c>
      <c r="I388">
        <v>27.02</v>
      </c>
      <c r="J388">
        <v>24.95</v>
      </c>
      <c r="K388">
        <v>0</v>
      </c>
      <c r="L388">
        <v>0</v>
      </c>
      <c r="M388">
        <v>20.36</v>
      </c>
      <c r="N388">
        <v>21.11</v>
      </c>
      <c r="O388">
        <v>223.11</v>
      </c>
    </row>
    <row r="389" spans="1:15" ht="15">
      <c r="A389" t="str">
        <f>"0146034259"</f>
        <v>0146034259</v>
      </c>
      <c r="B389" t="s">
        <v>77</v>
      </c>
      <c r="C389" t="str">
        <f t="shared" si="27"/>
        <v>16/01/01</v>
      </c>
      <c r="D389" t="str">
        <f t="shared" si="30"/>
        <v>WESTCHESTER</v>
      </c>
      <c r="E389">
        <v>0</v>
      </c>
      <c r="F389">
        <v>20.98</v>
      </c>
      <c r="G389">
        <v>0</v>
      </c>
      <c r="H389">
        <v>253.74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</row>
    <row r="390" spans="1:15" ht="15">
      <c r="A390" t="str">
        <f>"0166045759"</f>
        <v>0166045759</v>
      </c>
      <c r="B390" t="s">
        <v>86</v>
      </c>
      <c r="C390" t="str">
        <f t="shared" si="27"/>
        <v>16/01/01</v>
      </c>
      <c r="D390" t="str">
        <f t="shared" si="30"/>
        <v>WESTCHESTER</v>
      </c>
      <c r="E390">
        <v>18.96</v>
      </c>
      <c r="F390">
        <v>22.42</v>
      </c>
      <c r="G390">
        <v>0</v>
      </c>
      <c r="H390">
        <v>300.97</v>
      </c>
      <c r="I390">
        <v>0</v>
      </c>
      <c r="J390">
        <v>27.17</v>
      </c>
      <c r="K390">
        <v>0</v>
      </c>
      <c r="L390">
        <v>76.84</v>
      </c>
      <c r="M390">
        <v>0</v>
      </c>
      <c r="N390">
        <v>0</v>
      </c>
      <c r="O390">
        <v>0</v>
      </c>
    </row>
    <row r="391" spans="1:15" ht="15">
      <c r="A391" t="str">
        <f>"0145838259"</f>
        <v>0145838259</v>
      </c>
      <c r="B391" t="s">
        <v>76</v>
      </c>
      <c r="C391" t="str">
        <f aca="true" t="shared" si="31" ref="C391:C398">"16/01/01"</f>
        <v>16/01/01</v>
      </c>
      <c r="D391" t="str">
        <f t="shared" si="30"/>
        <v>WESTCHESTER</v>
      </c>
      <c r="E391">
        <v>20.24</v>
      </c>
      <c r="F391">
        <v>20.24</v>
      </c>
      <c r="G391">
        <v>20.23</v>
      </c>
      <c r="H391">
        <v>315.61</v>
      </c>
      <c r="I391">
        <v>0</v>
      </c>
      <c r="J391">
        <v>0</v>
      </c>
      <c r="K391">
        <v>0</v>
      </c>
      <c r="L391">
        <v>94.86</v>
      </c>
      <c r="M391">
        <v>0</v>
      </c>
      <c r="N391">
        <v>0</v>
      </c>
      <c r="O391">
        <v>0</v>
      </c>
    </row>
    <row r="392" spans="1:15" ht="15">
      <c r="A392" t="str">
        <f>"0194568860"</f>
        <v>0194568860</v>
      </c>
      <c r="B392" t="s">
        <v>114</v>
      </c>
      <c r="C392" t="str">
        <f t="shared" si="31"/>
        <v>16/01/01</v>
      </c>
      <c r="D392" t="str">
        <f>"WYOMING"</f>
        <v>WYOMING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16.2</v>
      </c>
      <c r="N392">
        <v>19.66</v>
      </c>
      <c r="O392">
        <v>0</v>
      </c>
    </row>
    <row r="393" spans="1:15" ht="15">
      <c r="A393" t="str">
        <f>"0090452760"</f>
        <v>0090452760</v>
      </c>
      <c r="B393" t="s">
        <v>33</v>
      </c>
      <c r="C393" t="str">
        <f t="shared" si="31"/>
        <v>16/01/01</v>
      </c>
      <c r="D393" t="str">
        <f>"WYOMING"</f>
        <v>WYOMING</v>
      </c>
      <c r="E393">
        <v>24.94</v>
      </c>
      <c r="F393">
        <v>25.54</v>
      </c>
      <c r="G393">
        <v>0</v>
      </c>
      <c r="H393">
        <v>0</v>
      </c>
      <c r="I393">
        <v>0</v>
      </c>
      <c r="J393">
        <v>0</v>
      </c>
      <c r="K393">
        <v>84.54</v>
      </c>
      <c r="L393">
        <v>84.54</v>
      </c>
      <c r="M393">
        <v>0</v>
      </c>
      <c r="N393">
        <v>0</v>
      </c>
      <c r="O393">
        <v>0</v>
      </c>
    </row>
    <row r="394" spans="1:15" ht="15">
      <c r="A394" t="str">
        <f>"0307657960"</f>
        <v>0307657960</v>
      </c>
      <c r="B394" t="s">
        <v>148</v>
      </c>
      <c r="C394" t="str">
        <f t="shared" si="31"/>
        <v>16/01/01</v>
      </c>
      <c r="D394" t="str">
        <f>"WYOMING"</f>
        <v>WYOMING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21.66</v>
      </c>
      <c r="N394">
        <v>23.69</v>
      </c>
      <c r="O394">
        <v>0</v>
      </c>
    </row>
    <row r="395" spans="1:15" ht="15">
      <c r="A395" t="str">
        <f>"0240778960"</f>
        <v>0240778960</v>
      </c>
      <c r="B395" t="s">
        <v>131</v>
      </c>
      <c r="C395" t="str">
        <f t="shared" si="31"/>
        <v>16/01/01</v>
      </c>
      <c r="D395" t="str">
        <f>"WYOMING"</f>
        <v>WYOMING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17.13</v>
      </c>
      <c r="N395">
        <v>0</v>
      </c>
      <c r="O395">
        <v>0</v>
      </c>
    </row>
    <row r="396" spans="1:15" ht="15">
      <c r="A396" t="str">
        <f>"0194568861"</f>
        <v>0194568861</v>
      </c>
      <c r="B396" t="s">
        <v>114</v>
      </c>
      <c r="C396" t="str">
        <f t="shared" si="31"/>
        <v>16/01/01</v>
      </c>
      <c r="D396" t="str">
        <f>"YATES"</f>
        <v>YATES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16.22</v>
      </c>
      <c r="N396">
        <v>17.08</v>
      </c>
      <c r="O396">
        <v>0</v>
      </c>
    </row>
    <row r="397" spans="1:15" ht="15">
      <c r="A397" t="str">
        <f>"0307657961"</f>
        <v>0307657961</v>
      </c>
      <c r="B397" t="s">
        <v>148</v>
      </c>
      <c r="C397" t="str">
        <f t="shared" si="31"/>
        <v>16/01/01</v>
      </c>
      <c r="D397" t="str">
        <f>"YATES"</f>
        <v>YATES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22.2</v>
      </c>
      <c r="N397">
        <v>23.38</v>
      </c>
      <c r="O397">
        <v>0</v>
      </c>
    </row>
    <row r="398" spans="1:15" ht="15">
      <c r="A398" t="str">
        <f>"0147051161"</f>
        <v>0147051161</v>
      </c>
      <c r="B398" t="s">
        <v>79</v>
      </c>
      <c r="C398" t="str">
        <f t="shared" si="31"/>
        <v>16/01/01</v>
      </c>
      <c r="D398" t="str">
        <f>"YATES"</f>
        <v>YATES</v>
      </c>
      <c r="E398">
        <v>24.12</v>
      </c>
      <c r="F398">
        <v>25.44</v>
      </c>
      <c r="G398">
        <v>29.46</v>
      </c>
      <c r="H398">
        <v>0</v>
      </c>
      <c r="I398">
        <v>29.24</v>
      </c>
      <c r="J398">
        <v>30.44</v>
      </c>
      <c r="K398">
        <v>129.55</v>
      </c>
      <c r="L398">
        <v>129.56</v>
      </c>
      <c r="M398">
        <v>0</v>
      </c>
      <c r="N398">
        <v>0</v>
      </c>
      <c r="O398">
        <v>0</v>
      </c>
    </row>
    <row r="399" ht="15">
      <c r="D399" t="str">
        <f>" "</f>
        <v> 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Omecinsky</dc:creator>
  <cp:keywords/>
  <dc:description/>
  <cp:lastModifiedBy>Kim Fraim</cp:lastModifiedBy>
  <cp:lastPrinted>2016-06-08T20:10:14Z</cp:lastPrinted>
  <dcterms:created xsi:type="dcterms:W3CDTF">2016-06-08T14:35:21Z</dcterms:created>
  <dcterms:modified xsi:type="dcterms:W3CDTF">2016-06-09T17:23:24Z</dcterms:modified>
  <cp:category/>
  <cp:version/>
  <cp:contentType/>
  <cp:contentStatus/>
</cp:coreProperties>
</file>