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updateLinks="never"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-15" yWindow="-15" windowWidth="23055" windowHeight="4845"/>
  </bookViews>
  <sheets>
    <sheet name="Funds Flow Summary" sheetId="1" r:id="rId1"/>
    <sheet name="Funds Flow - Partner Detail" sheetId="2" r:id="rId2"/>
    <sheet name="2nd Tier Funds Flow" sheetId="26" r:id="rId3"/>
    <sheet name="Partner Engagement DY3Q1 Update" sheetId="27" r:id="rId4"/>
    <sheet name="CPWNY Perf Network 032017" sheetId="25" state="hidden" r:id="rId5"/>
  </sheets>
  <externalReferences>
    <externalReference r:id="rId6"/>
  </externalReferences>
  <definedNames>
    <definedName name="_xlnm._FilterDatabase" localSheetId="4" hidden="1">'CPWNY Perf Network 032017'!$A$1:$AI$2197</definedName>
    <definedName name="_xlnm.Print_Area" localSheetId="2">'2nd Tier Funds Flow'!$A$1:$J$293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E19" i="1"/>
  <c r="E14" i="1"/>
  <c r="E24" i="1" s="1"/>
  <c r="J77" i="2" l="1"/>
  <c r="G323" i="26" l="1"/>
  <c r="F323" i="26"/>
  <c r="G321" i="26"/>
  <c r="F318" i="26"/>
  <c r="W328" i="26" l="1"/>
  <c r="I148" i="2" l="1"/>
  <c r="H148" i="2"/>
  <c r="I140" i="2"/>
  <c r="H140" i="2"/>
  <c r="I132" i="2"/>
  <c r="H132" i="2"/>
  <c r="I124" i="2"/>
  <c r="H124" i="2"/>
  <c r="I116" i="2"/>
  <c r="H116" i="2"/>
  <c r="I108" i="2"/>
  <c r="H108" i="2"/>
  <c r="I100" i="2"/>
  <c r="H100" i="2"/>
  <c r="I92" i="2"/>
  <c r="H92" i="2"/>
  <c r="I84" i="2"/>
  <c r="H84" i="2"/>
  <c r="I76" i="2"/>
  <c r="H76" i="2"/>
  <c r="I68" i="2"/>
  <c r="H68" i="2"/>
  <c r="I60" i="2"/>
  <c r="H60" i="2"/>
  <c r="I52" i="2"/>
  <c r="H52" i="2"/>
  <c r="I44" i="2"/>
  <c r="H44" i="2"/>
  <c r="I36" i="2"/>
  <c r="H36" i="2"/>
  <c r="I28" i="2"/>
  <c r="H28" i="2"/>
  <c r="I20" i="2"/>
  <c r="H20" i="2"/>
  <c r="I12" i="2"/>
  <c r="H12" i="2"/>
  <c r="J146" i="2"/>
  <c r="J145" i="2"/>
  <c r="J144" i="2"/>
  <c r="J143" i="2"/>
  <c r="J142" i="2"/>
  <c r="J141" i="2"/>
  <c r="J138" i="2"/>
  <c r="J137" i="2"/>
  <c r="J136" i="2"/>
  <c r="J135" i="2"/>
  <c r="J134" i="2"/>
  <c r="J133" i="2"/>
  <c r="J130" i="2"/>
  <c r="J129" i="2"/>
  <c r="J128" i="2"/>
  <c r="J127" i="2"/>
  <c r="J126" i="2"/>
  <c r="J125" i="2"/>
  <c r="J122" i="2"/>
  <c r="J121" i="2"/>
  <c r="J120" i="2"/>
  <c r="J119" i="2"/>
  <c r="J118" i="2"/>
  <c r="J117" i="2"/>
  <c r="J124" i="2" s="1"/>
  <c r="J114" i="2"/>
  <c r="J113" i="2"/>
  <c r="J112" i="2"/>
  <c r="J111" i="2"/>
  <c r="J110" i="2"/>
  <c r="J109" i="2"/>
  <c r="J106" i="2"/>
  <c r="J105" i="2"/>
  <c r="J104" i="2"/>
  <c r="J103" i="2"/>
  <c r="J102" i="2"/>
  <c r="J101" i="2"/>
  <c r="J98" i="2"/>
  <c r="J97" i="2"/>
  <c r="J96" i="2"/>
  <c r="J95" i="2"/>
  <c r="J94" i="2"/>
  <c r="J93" i="2"/>
  <c r="J90" i="2"/>
  <c r="J89" i="2"/>
  <c r="J88" i="2"/>
  <c r="J87" i="2"/>
  <c r="J86" i="2"/>
  <c r="J85" i="2"/>
  <c r="J92" i="2" s="1"/>
  <c r="J82" i="2"/>
  <c r="J81" i="2"/>
  <c r="J80" i="2"/>
  <c r="J79" i="2"/>
  <c r="J78" i="2"/>
  <c r="J74" i="2"/>
  <c r="J73" i="2"/>
  <c r="J72" i="2"/>
  <c r="J71" i="2"/>
  <c r="J70" i="2"/>
  <c r="J69" i="2"/>
  <c r="J66" i="2"/>
  <c r="J65" i="2"/>
  <c r="J64" i="2"/>
  <c r="J63" i="2"/>
  <c r="J62" i="2"/>
  <c r="J61" i="2"/>
  <c r="J58" i="2"/>
  <c r="J57" i="2"/>
  <c r="J56" i="2"/>
  <c r="J55" i="2"/>
  <c r="J54" i="2"/>
  <c r="J53" i="2"/>
  <c r="J50" i="2"/>
  <c r="J49" i="2"/>
  <c r="J48" i="2"/>
  <c r="J47" i="2"/>
  <c r="J46" i="2"/>
  <c r="J45" i="2"/>
  <c r="J42" i="2"/>
  <c r="J41" i="2"/>
  <c r="J40" i="2"/>
  <c r="J39" i="2"/>
  <c r="J38" i="2"/>
  <c r="J37" i="2"/>
  <c r="J34" i="2"/>
  <c r="J33" i="2"/>
  <c r="J32" i="2"/>
  <c r="J31" i="2"/>
  <c r="J30" i="2"/>
  <c r="J29" i="2"/>
  <c r="J26" i="2"/>
  <c r="J25" i="2"/>
  <c r="J24" i="2"/>
  <c r="J23" i="2"/>
  <c r="J22" i="2"/>
  <c r="J21" i="2"/>
  <c r="J18" i="2"/>
  <c r="J17" i="2"/>
  <c r="J16" i="2"/>
  <c r="J15" i="2"/>
  <c r="J14" i="2"/>
  <c r="J13" i="2"/>
  <c r="J10" i="2"/>
  <c r="J9" i="2"/>
  <c r="J8" i="2"/>
  <c r="J7" i="2"/>
  <c r="J6" i="2"/>
  <c r="J5" i="2"/>
  <c r="Q2197" i="25"/>
  <c r="Q2196" i="25"/>
  <c r="Q2195" i="25"/>
  <c r="Q2194" i="25"/>
  <c r="Q2193" i="25"/>
  <c r="Q2192" i="25"/>
  <c r="Q2191" i="25"/>
  <c r="Q2190" i="25"/>
  <c r="Q2189" i="25"/>
  <c r="B2188" i="25"/>
  <c r="A2188" i="25"/>
  <c r="AA2187" i="25"/>
  <c r="B2187" i="25"/>
  <c r="A2187" i="25"/>
  <c r="AA2186" i="25"/>
  <c r="B2186" i="25"/>
  <c r="A2186" i="25"/>
  <c r="AA2185" i="25"/>
  <c r="B2185" i="25"/>
  <c r="A2185" i="25"/>
  <c r="AA2184" i="25"/>
  <c r="B2184" i="25"/>
  <c r="A2184" i="25"/>
  <c r="AA2183" i="25"/>
  <c r="B2183" i="25"/>
  <c r="A2183" i="25"/>
  <c r="AA2182" i="25"/>
  <c r="B2182" i="25"/>
  <c r="A2182" i="25"/>
  <c r="AA2181" i="25"/>
  <c r="B2181" i="25"/>
  <c r="A2181" i="25"/>
  <c r="B2180" i="25"/>
  <c r="A2180" i="25"/>
  <c r="AA2179" i="25"/>
  <c r="B2179" i="25"/>
  <c r="A2179" i="25"/>
  <c r="Q2178" i="25"/>
  <c r="Q2177" i="25"/>
  <c r="Q2176" i="25"/>
  <c r="Q2175" i="25"/>
  <c r="AA2174" i="25"/>
  <c r="B2174" i="25"/>
  <c r="A2174" i="25"/>
  <c r="AA2173" i="25"/>
  <c r="B2173" i="25"/>
  <c r="A2173" i="25"/>
  <c r="AA2172" i="25"/>
  <c r="B2172" i="25"/>
  <c r="A2172" i="25"/>
  <c r="AA2171" i="25"/>
  <c r="B2171" i="25"/>
  <c r="A2171" i="25"/>
  <c r="AA2170" i="25"/>
  <c r="B2170" i="25"/>
  <c r="A2170" i="25"/>
  <c r="AA2169" i="25"/>
  <c r="B2169" i="25"/>
  <c r="A2169" i="25"/>
  <c r="AA2168" i="25"/>
  <c r="B2168" i="25"/>
  <c r="A2168" i="25"/>
  <c r="AA2167" i="25"/>
  <c r="B2167" i="25"/>
  <c r="A2167" i="25"/>
  <c r="AA2166" i="25"/>
  <c r="B2166" i="25"/>
  <c r="A2166" i="25"/>
  <c r="AA2165" i="25"/>
  <c r="B2165" i="25"/>
  <c r="A2165" i="25"/>
  <c r="AA2164" i="25"/>
  <c r="B2164" i="25"/>
  <c r="A2164" i="25"/>
  <c r="AA2163" i="25"/>
  <c r="B2163" i="25"/>
  <c r="A2163" i="25"/>
  <c r="AA2162" i="25"/>
  <c r="B2162" i="25"/>
  <c r="A2162" i="25"/>
  <c r="AA2161" i="25"/>
  <c r="B2161" i="25"/>
  <c r="A2161" i="25"/>
  <c r="AA2160" i="25"/>
  <c r="B2160" i="25"/>
  <c r="A2160" i="25"/>
  <c r="AA2159" i="25"/>
  <c r="B2159" i="25"/>
  <c r="A2159" i="25"/>
  <c r="AA2158" i="25"/>
  <c r="B2158" i="25"/>
  <c r="A2158" i="25"/>
  <c r="AA2157" i="25"/>
  <c r="B2157" i="25"/>
  <c r="A2157" i="25"/>
  <c r="V2156" i="25"/>
  <c r="A2156" i="25"/>
  <c r="AA2155" i="25"/>
  <c r="B2155" i="25"/>
  <c r="A2155" i="25"/>
  <c r="AA2154" i="25"/>
  <c r="B2154" i="25"/>
  <c r="A2154" i="25"/>
  <c r="AA2153" i="25"/>
  <c r="B2153" i="25"/>
  <c r="A2153" i="25"/>
  <c r="AA2152" i="25"/>
  <c r="B2152" i="25"/>
  <c r="A2152" i="25"/>
  <c r="AA2151" i="25"/>
  <c r="B2151" i="25"/>
  <c r="A2151" i="25"/>
  <c r="AA2150" i="25"/>
  <c r="B2150" i="25"/>
  <c r="A2150" i="25"/>
  <c r="AA2149" i="25"/>
  <c r="B2149" i="25"/>
  <c r="A2149" i="25"/>
  <c r="AA2148" i="25"/>
  <c r="B2148" i="25"/>
  <c r="A2148" i="25"/>
  <c r="AA2147" i="25"/>
  <c r="B2147" i="25"/>
  <c r="A2147" i="25"/>
  <c r="AA2146" i="25"/>
  <c r="B2146" i="25"/>
  <c r="A2146" i="25"/>
  <c r="AA2145" i="25"/>
  <c r="B2145" i="25"/>
  <c r="A2145" i="25"/>
  <c r="AA2144" i="25"/>
  <c r="B2144" i="25"/>
  <c r="A2144" i="25"/>
  <c r="AA2143" i="25"/>
  <c r="B2143" i="25"/>
  <c r="A2143" i="25"/>
  <c r="AA2142" i="25"/>
  <c r="B2142" i="25"/>
  <c r="A2142" i="25"/>
  <c r="AA2141" i="25"/>
  <c r="B2141" i="25"/>
  <c r="A2141" i="25"/>
  <c r="AA2140" i="25"/>
  <c r="B2140" i="25"/>
  <c r="A2140" i="25"/>
  <c r="AA2139" i="25"/>
  <c r="B2139" i="25"/>
  <c r="A2139" i="25"/>
  <c r="AA2138" i="25"/>
  <c r="B2138" i="25"/>
  <c r="A2138" i="25"/>
  <c r="AA2137" i="25"/>
  <c r="B2137" i="25"/>
  <c r="A2137" i="25"/>
  <c r="AA2136" i="25"/>
  <c r="B2136" i="25"/>
  <c r="A2136" i="25"/>
  <c r="AA2135" i="25"/>
  <c r="B2135" i="25"/>
  <c r="A2135" i="25"/>
  <c r="AA2134" i="25"/>
  <c r="B2134" i="25"/>
  <c r="A2134" i="25"/>
  <c r="AA2133" i="25"/>
  <c r="B2133" i="25"/>
  <c r="A2133" i="25"/>
  <c r="AA2132" i="25"/>
  <c r="B2132" i="25"/>
  <c r="A2132" i="25"/>
  <c r="AA2131" i="25"/>
  <c r="B2131" i="25"/>
  <c r="A2131" i="25"/>
  <c r="AA2130" i="25"/>
  <c r="B2130" i="25"/>
  <c r="A2130" i="25"/>
  <c r="AA2129" i="25"/>
  <c r="B2129" i="25"/>
  <c r="A2129" i="25"/>
  <c r="AA2128" i="25"/>
  <c r="B2128" i="25"/>
  <c r="A2128" i="25"/>
  <c r="AA2127" i="25"/>
  <c r="B2127" i="25"/>
  <c r="A2127" i="25"/>
  <c r="AA2126" i="25"/>
  <c r="B2126" i="25"/>
  <c r="A2126" i="25"/>
  <c r="AA2125" i="25"/>
  <c r="B2125" i="25"/>
  <c r="A2125" i="25"/>
  <c r="AA2124" i="25"/>
  <c r="B2124" i="25"/>
  <c r="A2124" i="25"/>
  <c r="AA2123" i="25"/>
  <c r="B2123" i="25"/>
  <c r="A2123" i="25"/>
  <c r="AA2122" i="25"/>
  <c r="B2122" i="25"/>
  <c r="A2122" i="25"/>
  <c r="AA2121" i="25"/>
  <c r="B2121" i="25"/>
  <c r="A2121" i="25"/>
  <c r="AA2120" i="25"/>
  <c r="B2120" i="25"/>
  <c r="A2120" i="25"/>
  <c r="V2119" i="25"/>
  <c r="A2119" i="25"/>
  <c r="AA2118" i="25"/>
  <c r="B2118" i="25"/>
  <c r="A2118" i="25"/>
  <c r="AA2117" i="25"/>
  <c r="B2117" i="25"/>
  <c r="A2117" i="25"/>
  <c r="V2116" i="25"/>
  <c r="A2116" i="25"/>
  <c r="B2115" i="25"/>
  <c r="A2115" i="25"/>
  <c r="AA2114" i="25"/>
  <c r="B2114" i="25"/>
  <c r="A2114" i="25"/>
  <c r="AA2113" i="25"/>
  <c r="B2113" i="25"/>
  <c r="A2113" i="25"/>
  <c r="V2112" i="25"/>
  <c r="A2112" i="25"/>
  <c r="AA2111" i="25"/>
  <c r="B2111" i="25"/>
  <c r="A2111" i="25"/>
  <c r="AA2110" i="25"/>
  <c r="B2110" i="25"/>
  <c r="A2110" i="25"/>
  <c r="AA2109" i="25"/>
  <c r="B2109" i="25"/>
  <c r="A2109" i="25"/>
  <c r="AA2108" i="25"/>
  <c r="B2108" i="25"/>
  <c r="A2108" i="25"/>
  <c r="AA2107" i="25"/>
  <c r="B2107" i="25"/>
  <c r="A2107" i="25"/>
  <c r="AA2106" i="25"/>
  <c r="B2106" i="25"/>
  <c r="A2106" i="25"/>
  <c r="AA2105" i="25"/>
  <c r="B2105" i="25"/>
  <c r="A2105" i="25"/>
  <c r="Q2104" i="25"/>
  <c r="AA2103" i="25"/>
  <c r="B2103" i="25"/>
  <c r="A2103" i="25"/>
  <c r="AA2102" i="25"/>
  <c r="B2102" i="25"/>
  <c r="A2102" i="25"/>
  <c r="AA2101" i="25"/>
  <c r="B2101" i="25"/>
  <c r="A2101" i="25"/>
  <c r="AA2100" i="25"/>
  <c r="B2100" i="25"/>
  <c r="A2100" i="25"/>
  <c r="AA2099" i="25"/>
  <c r="B2099" i="25"/>
  <c r="A2099" i="25"/>
  <c r="AA2098" i="25"/>
  <c r="B2098" i="25"/>
  <c r="A2098" i="25"/>
  <c r="AA2097" i="25"/>
  <c r="B2097" i="25"/>
  <c r="A2097" i="25"/>
  <c r="AA2096" i="25"/>
  <c r="B2096" i="25"/>
  <c r="A2096" i="25"/>
  <c r="AA2095" i="25"/>
  <c r="B2095" i="25"/>
  <c r="A2095" i="25"/>
  <c r="AA2094" i="25"/>
  <c r="B2094" i="25"/>
  <c r="A2094" i="25"/>
  <c r="AA2093" i="25"/>
  <c r="B2093" i="25"/>
  <c r="A2093" i="25"/>
  <c r="AA2092" i="25"/>
  <c r="B2092" i="25"/>
  <c r="A2092" i="25"/>
  <c r="AA2091" i="25"/>
  <c r="B2091" i="25"/>
  <c r="A2091" i="25"/>
  <c r="V2090" i="25"/>
  <c r="A2090" i="25"/>
  <c r="AA2089" i="25"/>
  <c r="B2089" i="25"/>
  <c r="A2089" i="25"/>
  <c r="V2088" i="25"/>
  <c r="A2088" i="25"/>
  <c r="AA2087" i="25"/>
  <c r="B2087" i="25"/>
  <c r="A2087" i="25"/>
  <c r="V2086" i="25"/>
  <c r="A2086" i="25"/>
  <c r="V2085" i="25"/>
  <c r="A2085" i="25"/>
  <c r="V2084" i="25"/>
  <c r="A2084" i="25"/>
  <c r="V2083" i="25"/>
  <c r="A2083" i="25"/>
  <c r="V2082" i="25"/>
  <c r="A2082" i="25"/>
  <c r="V2081" i="25"/>
  <c r="A2081" i="25"/>
  <c r="V2080" i="25"/>
  <c r="A2080" i="25"/>
  <c r="V2079" i="25"/>
  <c r="A2079" i="25"/>
  <c r="V2078" i="25"/>
  <c r="A2078" i="25"/>
  <c r="V2077" i="25"/>
  <c r="A2077" i="25"/>
  <c r="V2076" i="25"/>
  <c r="A2076" i="25"/>
  <c r="V2075" i="25"/>
  <c r="A2075" i="25"/>
  <c r="V2074" i="25"/>
  <c r="A2074" i="25"/>
  <c r="V2073" i="25"/>
  <c r="A2073" i="25"/>
  <c r="V2072" i="25"/>
  <c r="A2072" i="25"/>
  <c r="V2071" i="25"/>
  <c r="A2071" i="25"/>
  <c r="AA2070" i="25"/>
  <c r="B2070" i="25"/>
  <c r="A2070" i="25"/>
  <c r="AA2069" i="25"/>
  <c r="B2069" i="25"/>
  <c r="A2069" i="25"/>
  <c r="AA2068" i="25"/>
  <c r="B2068" i="25"/>
  <c r="A2068" i="25"/>
  <c r="AA2067" i="25"/>
  <c r="B2067" i="25"/>
  <c r="A2067" i="25"/>
  <c r="V2066" i="25"/>
  <c r="A2066" i="25"/>
  <c r="AA2065" i="25"/>
  <c r="B2065" i="25"/>
  <c r="A2065" i="25"/>
  <c r="AA2064" i="25"/>
  <c r="B2064" i="25"/>
  <c r="A2064" i="25"/>
  <c r="AA2063" i="25"/>
  <c r="B2063" i="25"/>
  <c r="A2063" i="25"/>
  <c r="AA2062" i="25"/>
  <c r="B2062" i="25"/>
  <c r="A2062" i="25"/>
  <c r="V2061" i="25"/>
  <c r="A2061" i="25"/>
  <c r="AA2060" i="25"/>
  <c r="B2060" i="25"/>
  <c r="A2060" i="25"/>
  <c r="V2059" i="25"/>
  <c r="A2059" i="25"/>
  <c r="AA2058" i="25"/>
  <c r="B2058" i="25"/>
  <c r="A2058" i="25"/>
  <c r="AA2057" i="25"/>
  <c r="B2057" i="25"/>
  <c r="A2057" i="25"/>
  <c r="AA2056" i="25"/>
  <c r="B2056" i="25"/>
  <c r="A2056" i="25"/>
  <c r="AA2055" i="25"/>
  <c r="B2055" i="25"/>
  <c r="A2055" i="25"/>
  <c r="AA2054" i="25"/>
  <c r="B2054" i="25"/>
  <c r="A2054" i="25"/>
  <c r="AA2053" i="25"/>
  <c r="B2053" i="25"/>
  <c r="A2053" i="25"/>
  <c r="AA2052" i="25"/>
  <c r="B2052" i="25"/>
  <c r="A2052" i="25"/>
  <c r="AA2051" i="25"/>
  <c r="B2051" i="25"/>
  <c r="A2051" i="25"/>
  <c r="AA2050" i="25"/>
  <c r="B2050" i="25"/>
  <c r="A2050" i="25"/>
  <c r="AA2049" i="25"/>
  <c r="B2049" i="25"/>
  <c r="A2049" i="25"/>
  <c r="AA2048" i="25"/>
  <c r="B2048" i="25"/>
  <c r="A2048" i="25"/>
  <c r="AA2047" i="25"/>
  <c r="B2047" i="25"/>
  <c r="A2047" i="25"/>
  <c r="AA2046" i="25"/>
  <c r="B2046" i="25"/>
  <c r="A2046" i="25"/>
  <c r="AA2045" i="25"/>
  <c r="B2045" i="25"/>
  <c r="A2045" i="25"/>
  <c r="AA2044" i="25"/>
  <c r="B2044" i="25"/>
  <c r="A2044" i="25"/>
  <c r="AA2043" i="25"/>
  <c r="B2043" i="25"/>
  <c r="A2043" i="25"/>
  <c r="AA2042" i="25"/>
  <c r="B2042" i="25"/>
  <c r="A2042" i="25"/>
  <c r="AA2041" i="25"/>
  <c r="B2041" i="25"/>
  <c r="A2041" i="25"/>
  <c r="AA2040" i="25"/>
  <c r="B2040" i="25"/>
  <c r="A2040" i="25"/>
  <c r="AA2039" i="25"/>
  <c r="B2039" i="25"/>
  <c r="A2039" i="25"/>
  <c r="AA2038" i="25"/>
  <c r="B2038" i="25"/>
  <c r="A2038" i="25"/>
  <c r="AA2037" i="25"/>
  <c r="B2037" i="25"/>
  <c r="A2037" i="25"/>
  <c r="AA2036" i="25"/>
  <c r="B2036" i="25"/>
  <c r="A2036" i="25"/>
  <c r="V2035" i="25"/>
  <c r="A2035" i="25"/>
  <c r="AA2034" i="25"/>
  <c r="B2034" i="25"/>
  <c r="A2034" i="25"/>
  <c r="AA2033" i="25"/>
  <c r="B2033" i="25"/>
  <c r="A2033" i="25"/>
  <c r="B2032" i="25"/>
  <c r="A2032" i="25"/>
  <c r="AA2031" i="25"/>
  <c r="B2031" i="25"/>
  <c r="A2031" i="25"/>
  <c r="AA2030" i="25"/>
  <c r="B2030" i="25"/>
  <c r="A2030" i="25"/>
  <c r="AA2029" i="25"/>
  <c r="B2029" i="25"/>
  <c r="A2029" i="25"/>
  <c r="AA2028" i="25"/>
  <c r="B2028" i="25"/>
  <c r="A2028" i="25"/>
  <c r="AA2027" i="25"/>
  <c r="B2027" i="25"/>
  <c r="A2027" i="25"/>
  <c r="AA2026" i="25"/>
  <c r="B2026" i="25"/>
  <c r="A2026" i="25"/>
  <c r="AA2025" i="25"/>
  <c r="B2025" i="25"/>
  <c r="A2025" i="25"/>
  <c r="AA2024" i="25"/>
  <c r="B2024" i="25"/>
  <c r="A2024" i="25"/>
  <c r="AA2023" i="25"/>
  <c r="B2023" i="25"/>
  <c r="A2023" i="25"/>
  <c r="AA2022" i="25"/>
  <c r="B2022" i="25"/>
  <c r="A2022" i="25"/>
  <c r="V2021" i="25"/>
  <c r="A2021" i="25"/>
  <c r="AA2020" i="25"/>
  <c r="B2020" i="25"/>
  <c r="A2020" i="25"/>
  <c r="AA2019" i="25"/>
  <c r="B2019" i="25"/>
  <c r="A2019" i="25"/>
  <c r="AA2018" i="25"/>
  <c r="B2018" i="25"/>
  <c r="A2018" i="25"/>
  <c r="AA2017" i="25"/>
  <c r="B2017" i="25"/>
  <c r="A2017" i="25"/>
  <c r="AA2016" i="25"/>
  <c r="B2016" i="25"/>
  <c r="A2016" i="25"/>
  <c r="AA2015" i="25"/>
  <c r="B2015" i="25"/>
  <c r="A2015" i="25"/>
  <c r="AA2014" i="25"/>
  <c r="B2014" i="25"/>
  <c r="A2014" i="25"/>
  <c r="AA2013" i="25"/>
  <c r="B2013" i="25"/>
  <c r="A2013" i="25"/>
  <c r="AA2012" i="25"/>
  <c r="B2012" i="25"/>
  <c r="A2012" i="25"/>
  <c r="V2011" i="25"/>
  <c r="A2011" i="25"/>
  <c r="AA2010" i="25"/>
  <c r="B2010" i="25"/>
  <c r="A2010" i="25"/>
  <c r="B2009" i="25"/>
  <c r="A2009" i="25"/>
  <c r="AA2008" i="25"/>
  <c r="B2008" i="25"/>
  <c r="A2008" i="25"/>
  <c r="AA2007" i="25"/>
  <c r="B2007" i="25"/>
  <c r="A2007" i="25"/>
  <c r="AA2006" i="25"/>
  <c r="B2006" i="25"/>
  <c r="A2006" i="25"/>
  <c r="AA2005" i="25"/>
  <c r="B2005" i="25"/>
  <c r="A2005" i="25"/>
  <c r="AA2004" i="25"/>
  <c r="B2004" i="25"/>
  <c r="A2004" i="25"/>
  <c r="AA2003" i="25"/>
  <c r="B2003" i="25"/>
  <c r="A2003" i="25"/>
  <c r="AA2002" i="25"/>
  <c r="B2002" i="25"/>
  <c r="A2002" i="25"/>
  <c r="AA2001" i="25"/>
  <c r="B2001" i="25"/>
  <c r="A2001" i="25"/>
  <c r="AA2000" i="25"/>
  <c r="B2000" i="25"/>
  <c r="A2000" i="25"/>
  <c r="AA1999" i="25"/>
  <c r="B1999" i="25"/>
  <c r="A1999" i="25"/>
  <c r="V1998" i="25"/>
  <c r="A1998" i="25"/>
  <c r="V1997" i="25"/>
  <c r="A1997" i="25"/>
  <c r="V1996" i="25"/>
  <c r="A1996" i="25"/>
  <c r="V1995" i="25"/>
  <c r="A1995" i="25"/>
  <c r="V1994" i="25"/>
  <c r="A1994" i="25"/>
  <c r="AA1993" i="25"/>
  <c r="B1993" i="25"/>
  <c r="A1993" i="25"/>
  <c r="AA1992" i="25"/>
  <c r="B1992" i="25"/>
  <c r="A1992" i="25"/>
  <c r="AA1991" i="25"/>
  <c r="B1991" i="25"/>
  <c r="A1991" i="25"/>
  <c r="Q1990" i="25"/>
  <c r="AA1989" i="25"/>
  <c r="B1989" i="25"/>
  <c r="V1987" i="25"/>
  <c r="A1987" i="25"/>
  <c r="Q1986" i="25"/>
  <c r="Q1985" i="25"/>
  <c r="AA1984" i="25"/>
  <c r="B1984" i="25"/>
  <c r="A1984" i="25"/>
  <c r="AA1983" i="25"/>
  <c r="B1983" i="25"/>
  <c r="A1983" i="25"/>
  <c r="Q1982" i="25"/>
  <c r="AA1980" i="25"/>
  <c r="B1980" i="25"/>
  <c r="A1980" i="25"/>
  <c r="V1979" i="25"/>
  <c r="A1979" i="25"/>
  <c r="AA1978" i="25"/>
  <c r="B1978" i="25"/>
  <c r="A1978" i="25"/>
  <c r="AA1977" i="25"/>
  <c r="B1977" i="25"/>
  <c r="A1977" i="25"/>
  <c r="AA1976" i="25"/>
  <c r="B1976" i="25"/>
  <c r="A1976" i="25"/>
  <c r="AA1975" i="25"/>
  <c r="B1975" i="25"/>
  <c r="A1975" i="25"/>
  <c r="AA1974" i="25"/>
  <c r="B1974" i="25"/>
  <c r="A1974" i="25"/>
  <c r="AA1973" i="25"/>
  <c r="B1973" i="25"/>
  <c r="A1973" i="25"/>
  <c r="AA1972" i="25"/>
  <c r="B1972" i="25"/>
  <c r="A1972" i="25"/>
  <c r="AA1971" i="25"/>
  <c r="B1971" i="25"/>
  <c r="A1971" i="25"/>
  <c r="AA1970" i="25"/>
  <c r="B1970" i="25"/>
  <c r="A1970" i="25"/>
  <c r="AA1969" i="25"/>
  <c r="B1969" i="25"/>
  <c r="A1969" i="25"/>
  <c r="AA1968" i="25"/>
  <c r="B1968" i="25"/>
  <c r="A1968" i="25"/>
  <c r="AA1967" i="25"/>
  <c r="B1967" i="25"/>
  <c r="A1967" i="25"/>
  <c r="AA1966" i="25"/>
  <c r="B1966" i="25"/>
  <c r="A1966" i="25"/>
  <c r="AA1965" i="25"/>
  <c r="B1965" i="25"/>
  <c r="A1965" i="25"/>
  <c r="AA1964" i="25"/>
  <c r="B1964" i="25"/>
  <c r="A1964" i="25"/>
  <c r="AA1963" i="25"/>
  <c r="B1963" i="25"/>
  <c r="A1963" i="25"/>
  <c r="AA1962" i="25"/>
  <c r="B1962" i="25"/>
  <c r="A1962" i="25"/>
  <c r="AA1961" i="25"/>
  <c r="B1961" i="25"/>
  <c r="A1961" i="25"/>
  <c r="AA1960" i="25"/>
  <c r="B1960" i="25"/>
  <c r="A1960" i="25"/>
  <c r="AA1959" i="25"/>
  <c r="B1959" i="25"/>
  <c r="A1959" i="25"/>
  <c r="AA1958" i="25"/>
  <c r="B1958" i="25"/>
  <c r="A1958" i="25"/>
  <c r="AA1957" i="25"/>
  <c r="B1957" i="25"/>
  <c r="A1957" i="25"/>
  <c r="AA1956" i="25"/>
  <c r="B1956" i="25"/>
  <c r="A1956" i="25"/>
  <c r="AA1955" i="25"/>
  <c r="B1955" i="25"/>
  <c r="A1955" i="25"/>
  <c r="AA1954" i="25"/>
  <c r="B1954" i="25"/>
  <c r="A1954" i="25"/>
  <c r="AA1953" i="25"/>
  <c r="B1953" i="25"/>
  <c r="A1953" i="25"/>
  <c r="AA1952" i="25"/>
  <c r="B1952" i="25"/>
  <c r="A1952" i="25"/>
  <c r="AA1951" i="25"/>
  <c r="B1951" i="25"/>
  <c r="A1951" i="25"/>
  <c r="AA1950" i="25"/>
  <c r="B1950" i="25"/>
  <c r="A1950" i="25"/>
  <c r="AA1949" i="25"/>
  <c r="B1949" i="25"/>
  <c r="A1949" i="25"/>
  <c r="AA1948" i="25"/>
  <c r="B1948" i="25"/>
  <c r="A1948" i="25"/>
  <c r="AA1947" i="25"/>
  <c r="B1947" i="25"/>
  <c r="A1947" i="25"/>
  <c r="AA1946" i="25"/>
  <c r="B1946" i="25"/>
  <c r="A1946" i="25"/>
  <c r="AA1945" i="25"/>
  <c r="B1945" i="25"/>
  <c r="A1945" i="25"/>
  <c r="AA1944" i="25"/>
  <c r="B1944" i="25"/>
  <c r="A1944" i="25"/>
  <c r="AA1943" i="25"/>
  <c r="B1943" i="25"/>
  <c r="A1943" i="25"/>
  <c r="AA1942" i="25"/>
  <c r="B1942" i="25"/>
  <c r="A1942" i="25"/>
  <c r="AA1941" i="25"/>
  <c r="B1941" i="25"/>
  <c r="A1941" i="25"/>
  <c r="AA1940" i="25"/>
  <c r="B1940" i="25"/>
  <c r="A1940" i="25"/>
  <c r="AA1939" i="25"/>
  <c r="B1939" i="25"/>
  <c r="A1939" i="25"/>
  <c r="AA1938" i="25"/>
  <c r="B1938" i="25"/>
  <c r="A1938" i="25"/>
  <c r="AA1937" i="25"/>
  <c r="B1937" i="25"/>
  <c r="A1937" i="25"/>
  <c r="AA1936" i="25"/>
  <c r="B1936" i="25"/>
  <c r="A1936" i="25"/>
  <c r="AA1935" i="25"/>
  <c r="B1935" i="25"/>
  <c r="A1935" i="25"/>
  <c r="AA1934" i="25"/>
  <c r="B1934" i="25"/>
  <c r="A1934" i="25"/>
  <c r="AA1933" i="25"/>
  <c r="B1933" i="25"/>
  <c r="A1933" i="25"/>
  <c r="AA1932" i="25"/>
  <c r="B1932" i="25"/>
  <c r="A1932" i="25"/>
  <c r="AA1931" i="25"/>
  <c r="B1931" i="25"/>
  <c r="A1931" i="25"/>
  <c r="AA1930" i="25"/>
  <c r="B1930" i="25"/>
  <c r="A1930" i="25"/>
  <c r="AA1929" i="25"/>
  <c r="B1929" i="25"/>
  <c r="A1929" i="25"/>
  <c r="AA1928" i="25"/>
  <c r="B1928" i="25"/>
  <c r="A1928" i="25"/>
  <c r="AA1927" i="25"/>
  <c r="B1927" i="25"/>
  <c r="A1927" i="25"/>
  <c r="AA1926" i="25"/>
  <c r="B1926" i="25"/>
  <c r="A1926" i="25"/>
  <c r="AA1925" i="25"/>
  <c r="B1925" i="25"/>
  <c r="A1925" i="25"/>
  <c r="AA1924" i="25"/>
  <c r="B1924" i="25"/>
  <c r="A1924" i="25"/>
  <c r="AA1923" i="25"/>
  <c r="B1923" i="25"/>
  <c r="A1923" i="25"/>
  <c r="AA1922" i="25"/>
  <c r="B1922" i="25"/>
  <c r="A1922" i="25"/>
  <c r="AA1921" i="25"/>
  <c r="B1921" i="25"/>
  <c r="A1921" i="25"/>
  <c r="V1920" i="25"/>
  <c r="A1920" i="25"/>
  <c r="AA1919" i="25"/>
  <c r="B1919" i="25"/>
  <c r="A1919" i="25"/>
  <c r="AA1918" i="25"/>
  <c r="B1918" i="25"/>
  <c r="A1918" i="25"/>
  <c r="AA1917" i="25"/>
  <c r="B1917" i="25"/>
  <c r="A1917" i="25"/>
  <c r="AA1916" i="25"/>
  <c r="B1916" i="25"/>
  <c r="A1916" i="25"/>
  <c r="AA1915" i="25"/>
  <c r="B1915" i="25"/>
  <c r="A1915" i="25"/>
  <c r="AA1914" i="25"/>
  <c r="B1914" i="25"/>
  <c r="A1914" i="25"/>
  <c r="AA1913" i="25"/>
  <c r="B1913" i="25"/>
  <c r="A1913" i="25"/>
  <c r="AA1912" i="25"/>
  <c r="B1912" i="25"/>
  <c r="A1912" i="25"/>
  <c r="AA1911" i="25"/>
  <c r="B1911" i="25"/>
  <c r="A1911" i="25"/>
  <c r="AA1910" i="25"/>
  <c r="B1910" i="25"/>
  <c r="A1910" i="25"/>
  <c r="AA1909" i="25"/>
  <c r="B1909" i="25"/>
  <c r="A1909" i="25"/>
  <c r="AA1908" i="25"/>
  <c r="B1908" i="25"/>
  <c r="A1908" i="25"/>
  <c r="AA1907" i="25"/>
  <c r="B1907" i="25"/>
  <c r="A1907" i="25"/>
  <c r="AA1906" i="25"/>
  <c r="B1906" i="25"/>
  <c r="A1906" i="25"/>
  <c r="AA1905" i="25"/>
  <c r="B1905" i="25"/>
  <c r="A1905" i="25"/>
  <c r="AA1904" i="25"/>
  <c r="B1904" i="25"/>
  <c r="A1904" i="25"/>
  <c r="AA1903" i="25"/>
  <c r="B1903" i="25"/>
  <c r="A1903" i="25"/>
  <c r="AA1902" i="25"/>
  <c r="B1902" i="25"/>
  <c r="A1902" i="25"/>
  <c r="AA1901" i="25"/>
  <c r="B1901" i="25"/>
  <c r="A1901" i="25"/>
  <c r="B1900" i="25"/>
  <c r="A1900" i="25"/>
  <c r="AA1899" i="25"/>
  <c r="B1899" i="25"/>
  <c r="A1899" i="25"/>
  <c r="AA1898" i="25"/>
  <c r="B1898" i="25"/>
  <c r="A1898" i="25"/>
  <c r="AA1897" i="25"/>
  <c r="B1897" i="25"/>
  <c r="A1897" i="25"/>
  <c r="AA1896" i="25"/>
  <c r="B1896" i="25"/>
  <c r="A1896" i="25"/>
  <c r="AA1895" i="25"/>
  <c r="B1895" i="25"/>
  <c r="A1895" i="25"/>
  <c r="AA1894" i="25"/>
  <c r="B1894" i="25"/>
  <c r="A1894" i="25"/>
  <c r="AA1893" i="25"/>
  <c r="B1893" i="25"/>
  <c r="A1893" i="25"/>
  <c r="AA1892" i="25"/>
  <c r="B1892" i="25"/>
  <c r="A1892" i="25"/>
  <c r="AA1891" i="25"/>
  <c r="B1891" i="25"/>
  <c r="A1891" i="25"/>
  <c r="AA1890" i="25"/>
  <c r="B1890" i="25"/>
  <c r="A1890" i="25"/>
  <c r="AA1889" i="25"/>
  <c r="B1889" i="25"/>
  <c r="A1889" i="25"/>
  <c r="AA1888" i="25"/>
  <c r="B1888" i="25"/>
  <c r="A1888" i="25"/>
  <c r="AA1887" i="25"/>
  <c r="B1887" i="25"/>
  <c r="A1887" i="25"/>
  <c r="AA1886" i="25"/>
  <c r="B1886" i="25"/>
  <c r="A1886" i="25"/>
  <c r="AA1885" i="25"/>
  <c r="B1885" i="25"/>
  <c r="A1885" i="25"/>
  <c r="AA1884" i="25"/>
  <c r="B1884" i="25"/>
  <c r="A1884" i="25"/>
  <c r="AA1883" i="25"/>
  <c r="B1883" i="25"/>
  <c r="A1883" i="25"/>
  <c r="AA1882" i="25"/>
  <c r="B1882" i="25"/>
  <c r="A1882" i="25"/>
  <c r="AA1881" i="25"/>
  <c r="B1881" i="25"/>
  <c r="A1881" i="25"/>
  <c r="AA1880" i="25"/>
  <c r="B1880" i="25"/>
  <c r="A1880" i="25"/>
  <c r="AA1879" i="25"/>
  <c r="B1879" i="25"/>
  <c r="A1879" i="25"/>
  <c r="AA1878" i="25"/>
  <c r="B1878" i="25"/>
  <c r="A1878" i="25"/>
  <c r="AA1877" i="25"/>
  <c r="B1877" i="25"/>
  <c r="A1877" i="25"/>
  <c r="AA1876" i="25"/>
  <c r="B1876" i="25"/>
  <c r="A1876" i="25"/>
  <c r="AA1875" i="25"/>
  <c r="B1875" i="25"/>
  <c r="A1875" i="25"/>
  <c r="AA1874" i="25"/>
  <c r="B1874" i="25"/>
  <c r="A1874" i="25"/>
  <c r="AA1873" i="25"/>
  <c r="B1873" i="25"/>
  <c r="A1873" i="25"/>
  <c r="AA1872" i="25"/>
  <c r="B1872" i="25"/>
  <c r="A1872" i="25"/>
  <c r="AA1871" i="25"/>
  <c r="B1871" i="25"/>
  <c r="A1871" i="25"/>
  <c r="AA1870" i="25"/>
  <c r="B1870" i="25"/>
  <c r="A1870" i="25"/>
  <c r="AA1869" i="25"/>
  <c r="B1869" i="25"/>
  <c r="A1869" i="25"/>
  <c r="AA1868" i="25"/>
  <c r="B1868" i="25"/>
  <c r="A1868" i="25"/>
  <c r="AA1867" i="25"/>
  <c r="B1867" i="25"/>
  <c r="A1867" i="25"/>
  <c r="AA1866" i="25"/>
  <c r="B1866" i="25"/>
  <c r="A1866" i="25"/>
  <c r="AA1865" i="25"/>
  <c r="B1865" i="25"/>
  <c r="A1865" i="25"/>
  <c r="AA1864" i="25"/>
  <c r="B1864" i="25"/>
  <c r="A1864" i="25"/>
  <c r="AA1863" i="25"/>
  <c r="B1863" i="25"/>
  <c r="A1863" i="25"/>
  <c r="AA1862" i="25"/>
  <c r="B1862" i="25"/>
  <c r="A1862" i="25"/>
  <c r="AA1861" i="25"/>
  <c r="B1861" i="25"/>
  <c r="A1861" i="25"/>
  <c r="AA1860" i="25"/>
  <c r="B1860" i="25"/>
  <c r="A1860" i="25"/>
  <c r="AA1859" i="25"/>
  <c r="B1859" i="25"/>
  <c r="A1859" i="25"/>
  <c r="AA1858" i="25"/>
  <c r="B1858" i="25"/>
  <c r="A1858" i="25"/>
  <c r="AA1857" i="25"/>
  <c r="B1857" i="25"/>
  <c r="A1857" i="25"/>
  <c r="AA1856" i="25"/>
  <c r="B1856" i="25"/>
  <c r="A1856" i="25"/>
  <c r="AA1855" i="25"/>
  <c r="B1855" i="25"/>
  <c r="A1855" i="25"/>
  <c r="AA1854" i="25"/>
  <c r="B1854" i="25"/>
  <c r="A1854" i="25"/>
  <c r="AA1853" i="25"/>
  <c r="B1853" i="25"/>
  <c r="A1853" i="25"/>
  <c r="AA1852" i="25"/>
  <c r="B1852" i="25"/>
  <c r="A1852" i="25"/>
  <c r="AA1851" i="25"/>
  <c r="B1851" i="25"/>
  <c r="A1851" i="25"/>
  <c r="AA1850" i="25"/>
  <c r="B1850" i="25"/>
  <c r="A1850" i="25"/>
  <c r="AA1849" i="25"/>
  <c r="B1849" i="25"/>
  <c r="A1849" i="25"/>
  <c r="AA1848" i="25"/>
  <c r="B1848" i="25"/>
  <c r="A1848" i="25"/>
  <c r="AA1847" i="25"/>
  <c r="B1847" i="25"/>
  <c r="A1847" i="25"/>
  <c r="AA1846" i="25"/>
  <c r="B1846" i="25"/>
  <c r="A1846" i="25"/>
  <c r="AA1845" i="25"/>
  <c r="B1845" i="25"/>
  <c r="A1845" i="25"/>
  <c r="AA1844" i="25"/>
  <c r="B1844" i="25"/>
  <c r="A1844" i="25"/>
  <c r="AA1843" i="25"/>
  <c r="B1843" i="25"/>
  <c r="A1843" i="25"/>
  <c r="AA1842" i="25"/>
  <c r="B1842" i="25"/>
  <c r="A1842" i="25"/>
  <c r="AA1841" i="25"/>
  <c r="B1841" i="25"/>
  <c r="A1841" i="25"/>
  <c r="AA1840" i="25"/>
  <c r="B1840" i="25"/>
  <c r="A1840" i="25"/>
  <c r="AA1839" i="25"/>
  <c r="B1839" i="25"/>
  <c r="A1839" i="25"/>
  <c r="AA1838" i="25"/>
  <c r="B1838" i="25"/>
  <c r="A1838" i="25"/>
  <c r="AA1837" i="25"/>
  <c r="B1837" i="25"/>
  <c r="A1837" i="25"/>
  <c r="AA1836" i="25"/>
  <c r="B1836" i="25"/>
  <c r="A1836" i="25"/>
  <c r="AA1835" i="25"/>
  <c r="B1835" i="25"/>
  <c r="A1835" i="25"/>
  <c r="AA1834" i="25"/>
  <c r="B1834" i="25"/>
  <c r="A1834" i="25"/>
  <c r="AA1833" i="25"/>
  <c r="B1833" i="25"/>
  <c r="A1833" i="25"/>
  <c r="AA1832" i="25"/>
  <c r="B1832" i="25"/>
  <c r="A1832" i="25"/>
  <c r="AA1831" i="25"/>
  <c r="B1831" i="25"/>
  <c r="A1831" i="25"/>
  <c r="AA1830" i="25"/>
  <c r="B1830" i="25"/>
  <c r="A1830" i="25"/>
  <c r="AA1829" i="25"/>
  <c r="B1829" i="25"/>
  <c r="A1829" i="25"/>
  <c r="V1828" i="25"/>
  <c r="A1828" i="25"/>
  <c r="AA1827" i="25"/>
  <c r="B1827" i="25"/>
  <c r="A1827" i="25"/>
  <c r="AA1826" i="25"/>
  <c r="B1826" i="25"/>
  <c r="A1826" i="25"/>
  <c r="AA1825" i="25"/>
  <c r="B1825" i="25"/>
  <c r="A1825" i="25"/>
  <c r="AA1824" i="25"/>
  <c r="B1824" i="25"/>
  <c r="A1824" i="25"/>
  <c r="AA1823" i="25"/>
  <c r="B1823" i="25"/>
  <c r="A1823" i="25"/>
  <c r="AA1822" i="25"/>
  <c r="B1822" i="25"/>
  <c r="A1822" i="25"/>
  <c r="AA1821" i="25"/>
  <c r="B1821" i="25"/>
  <c r="A1821" i="25"/>
  <c r="AA1820" i="25"/>
  <c r="B1820" i="25"/>
  <c r="A1820" i="25"/>
  <c r="AA1819" i="25"/>
  <c r="B1819" i="25"/>
  <c r="A1819" i="25"/>
  <c r="AA1818" i="25"/>
  <c r="B1818" i="25"/>
  <c r="A1818" i="25"/>
  <c r="AA1817" i="25"/>
  <c r="B1817" i="25"/>
  <c r="A1817" i="25"/>
  <c r="AA1816" i="25"/>
  <c r="B1816" i="25"/>
  <c r="A1816" i="25"/>
  <c r="AA1815" i="25"/>
  <c r="B1815" i="25"/>
  <c r="A1815" i="25"/>
  <c r="AA1814" i="25"/>
  <c r="B1814" i="25"/>
  <c r="A1814" i="25"/>
  <c r="AA1813" i="25"/>
  <c r="B1813" i="25"/>
  <c r="A1813" i="25"/>
  <c r="AA1812" i="25"/>
  <c r="B1812" i="25"/>
  <c r="A1812" i="25"/>
  <c r="AA1811" i="25"/>
  <c r="B1811" i="25"/>
  <c r="A1811" i="25"/>
  <c r="AA1810" i="25"/>
  <c r="B1810" i="25"/>
  <c r="A1810" i="25"/>
  <c r="AA1809" i="25"/>
  <c r="B1809" i="25"/>
  <c r="A1809" i="25"/>
  <c r="AA1808" i="25"/>
  <c r="B1808" i="25"/>
  <c r="A1808" i="25"/>
  <c r="V1807" i="25"/>
  <c r="A1807" i="25"/>
  <c r="AA1806" i="25"/>
  <c r="B1806" i="25"/>
  <c r="A1806" i="25"/>
  <c r="AA1805" i="25"/>
  <c r="B1805" i="25"/>
  <c r="A1805" i="25"/>
  <c r="AA1804" i="25"/>
  <c r="B1804" i="25"/>
  <c r="A1804" i="25"/>
  <c r="AA1803" i="25"/>
  <c r="B1803" i="25"/>
  <c r="A1803" i="25"/>
  <c r="AA1802" i="25"/>
  <c r="B1802" i="25"/>
  <c r="A1802" i="25"/>
  <c r="AA1801" i="25"/>
  <c r="B1801" i="25"/>
  <c r="A1801" i="25"/>
  <c r="AA1800" i="25"/>
  <c r="B1800" i="25"/>
  <c r="A1800" i="25"/>
  <c r="AA1799" i="25"/>
  <c r="B1799" i="25"/>
  <c r="A1799" i="25"/>
  <c r="AA1798" i="25"/>
  <c r="B1798" i="25"/>
  <c r="A1798" i="25"/>
  <c r="AA1797" i="25"/>
  <c r="B1797" i="25"/>
  <c r="A1797" i="25"/>
  <c r="AA1795" i="25"/>
  <c r="B1795" i="25"/>
  <c r="A1795" i="25"/>
  <c r="AA1794" i="25"/>
  <c r="B1794" i="25"/>
  <c r="A1794" i="25"/>
  <c r="AA1793" i="25"/>
  <c r="B1793" i="25"/>
  <c r="A1793" i="25"/>
  <c r="AA1792" i="25"/>
  <c r="B1792" i="25"/>
  <c r="A1792" i="25"/>
  <c r="AA1791" i="25"/>
  <c r="B1791" i="25"/>
  <c r="A1791" i="25"/>
  <c r="AA1790" i="25"/>
  <c r="B1790" i="25"/>
  <c r="A1790" i="25"/>
  <c r="AA1789" i="25"/>
  <c r="B1789" i="25"/>
  <c r="A1789" i="25"/>
  <c r="AA1788" i="25"/>
  <c r="B1788" i="25"/>
  <c r="A1788" i="25"/>
  <c r="AA1787" i="25"/>
  <c r="B1787" i="25"/>
  <c r="A1787" i="25"/>
  <c r="AA1786" i="25"/>
  <c r="B1786" i="25"/>
  <c r="A1786" i="25"/>
  <c r="AA1784" i="25"/>
  <c r="B1784" i="25"/>
  <c r="A1784" i="25"/>
  <c r="AA1783" i="25"/>
  <c r="B1783" i="25"/>
  <c r="A1783" i="25"/>
  <c r="AA1782" i="25"/>
  <c r="B1782" i="25"/>
  <c r="A1782" i="25"/>
  <c r="AA1781" i="25"/>
  <c r="B1781" i="25"/>
  <c r="A1781" i="25"/>
  <c r="AA1780" i="25"/>
  <c r="B1780" i="25"/>
  <c r="A1780" i="25"/>
  <c r="AA1779" i="25"/>
  <c r="B1779" i="25"/>
  <c r="A1779" i="25"/>
  <c r="AA1778" i="25"/>
  <c r="B1778" i="25"/>
  <c r="A1778" i="25"/>
  <c r="AA1777" i="25"/>
  <c r="B1777" i="25"/>
  <c r="A1777" i="25"/>
  <c r="AA1776" i="25"/>
  <c r="B1776" i="25"/>
  <c r="A1776" i="25"/>
  <c r="AA1775" i="25"/>
  <c r="B1775" i="25"/>
  <c r="A1775" i="25"/>
  <c r="AA1774" i="25"/>
  <c r="B1774" i="25"/>
  <c r="A1774" i="25"/>
  <c r="AA1773" i="25"/>
  <c r="B1773" i="25"/>
  <c r="A1773" i="25"/>
  <c r="AA1772" i="25"/>
  <c r="B1772" i="25"/>
  <c r="A1772" i="25"/>
  <c r="AA1771" i="25"/>
  <c r="B1771" i="25"/>
  <c r="A1771" i="25"/>
  <c r="AA1770" i="25"/>
  <c r="B1770" i="25"/>
  <c r="A1770" i="25"/>
  <c r="AA1769" i="25"/>
  <c r="B1769" i="25"/>
  <c r="A1769" i="25"/>
  <c r="AA1768" i="25"/>
  <c r="B1768" i="25"/>
  <c r="A1768" i="25"/>
  <c r="AA1767" i="25"/>
  <c r="B1767" i="25"/>
  <c r="A1767" i="25"/>
  <c r="AA1766" i="25"/>
  <c r="B1766" i="25"/>
  <c r="A1766" i="25"/>
  <c r="AA1765" i="25"/>
  <c r="B1765" i="25"/>
  <c r="A1765" i="25"/>
  <c r="AA1764" i="25"/>
  <c r="B1764" i="25"/>
  <c r="A1764" i="25"/>
  <c r="AA1763" i="25"/>
  <c r="B1763" i="25"/>
  <c r="A1763" i="25"/>
  <c r="AA1762" i="25"/>
  <c r="B1762" i="25"/>
  <c r="A1762" i="25"/>
  <c r="AA1761" i="25"/>
  <c r="B1761" i="25"/>
  <c r="A1761" i="25"/>
  <c r="AA1760" i="25"/>
  <c r="B1760" i="25"/>
  <c r="A1760" i="25"/>
  <c r="AA1759" i="25"/>
  <c r="B1759" i="25"/>
  <c r="A1759" i="25"/>
  <c r="AA1758" i="25"/>
  <c r="B1758" i="25"/>
  <c r="A1758" i="25"/>
  <c r="AA1757" i="25"/>
  <c r="B1757" i="25"/>
  <c r="A1757" i="25"/>
  <c r="AA1756" i="25"/>
  <c r="B1756" i="25"/>
  <c r="A1756" i="25"/>
  <c r="AA1755" i="25"/>
  <c r="B1755" i="25"/>
  <c r="A1755" i="25"/>
  <c r="V1754" i="25"/>
  <c r="A1754" i="25"/>
  <c r="AA1753" i="25"/>
  <c r="B1753" i="25"/>
  <c r="A1753" i="25"/>
  <c r="AA1752" i="25"/>
  <c r="B1752" i="25"/>
  <c r="A1752" i="25"/>
  <c r="AA1751" i="25"/>
  <c r="B1751" i="25"/>
  <c r="A1751" i="25"/>
  <c r="AA1750" i="25"/>
  <c r="B1750" i="25"/>
  <c r="A1750" i="25"/>
  <c r="AA1749" i="25"/>
  <c r="B1749" i="25"/>
  <c r="A1749" i="25"/>
  <c r="AA1748" i="25"/>
  <c r="B1748" i="25"/>
  <c r="A1748" i="25"/>
  <c r="AA1747" i="25"/>
  <c r="B1747" i="25"/>
  <c r="A1747" i="25"/>
  <c r="AA1746" i="25"/>
  <c r="B1746" i="25"/>
  <c r="A1746" i="25"/>
  <c r="Q1745" i="25"/>
  <c r="AA1744" i="25"/>
  <c r="B1744" i="25"/>
  <c r="A1744" i="25"/>
  <c r="AA1743" i="25"/>
  <c r="B1743" i="25"/>
  <c r="A1743" i="25"/>
  <c r="AA1742" i="25"/>
  <c r="B1742" i="25"/>
  <c r="A1742" i="25"/>
  <c r="AA1741" i="25"/>
  <c r="B1741" i="25"/>
  <c r="A1741" i="25"/>
  <c r="AA1740" i="25"/>
  <c r="B1740" i="25"/>
  <c r="A1740" i="25"/>
  <c r="AA1739" i="25"/>
  <c r="B1739" i="25"/>
  <c r="A1739" i="25"/>
  <c r="B1738" i="25"/>
  <c r="A1738" i="25"/>
  <c r="AA1737" i="25"/>
  <c r="B1737" i="25"/>
  <c r="A1737" i="25"/>
  <c r="AA1736" i="25"/>
  <c r="B1736" i="25"/>
  <c r="A1736" i="25"/>
  <c r="AA1735" i="25"/>
  <c r="B1735" i="25"/>
  <c r="A1735" i="25"/>
  <c r="AA1734" i="25"/>
  <c r="B1734" i="25"/>
  <c r="A1734" i="25"/>
  <c r="AA1733" i="25"/>
  <c r="B1733" i="25"/>
  <c r="A1733" i="25"/>
  <c r="AA1732" i="25"/>
  <c r="B1732" i="25"/>
  <c r="A1732" i="25"/>
  <c r="AA1731" i="25"/>
  <c r="B1731" i="25"/>
  <c r="A1731" i="25"/>
  <c r="AA1730" i="25"/>
  <c r="B1730" i="25"/>
  <c r="A1730" i="25"/>
  <c r="AA1729" i="25"/>
  <c r="B1729" i="25"/>
  <c r="A1729" i="25"/>
  <c r="AA1728" i="25"/>
  <c r="B1728" i="25"/>
  <c r="A1728" i="25"/>
  <c r="AA1727" i="25"/>
  <c r="B1727" i="25"/>
  <c r="A1727" i="25"/>
  <c r="AA1726" i="25"/>
  <c r="B1726" i="25"/>
  <c r="A1726" i="25"/>
  <c r="AA1725" i="25"/>
  <c r="B1725" i="25"/>
  <c r="A1725" i="25"/>
  <c r="AA1724" i="25"/>
  <c r="B1724" i="25"/>
  <c r="A1724" i="25"/>
  <c r="AA1723" i="25"/>
  <c r="B1723" i="25"/>
  <c r="A1723" i="25"/>
  <c r="AA1722" i="25"/>
  <c r="B1722" i="25"/>
  <c r="A1722" i="25"/>
  <c r="AA1721" i="25"/>
  <c r="B1721" i="25"/>
  <c r="A1721" i="25"/>
  <c r="AA1720" i="25"/>
  <c r="B1720" i="25"/>
  <c r="A1720" i="25"/>
  <c r="AA1719" i="25"/>
  <c r="B1719" i="25"/>
  <c r="A1719" i="25"/>
  <c r="AA1718" i="25"/>
  <c r="B1718" i="25"/>
  <c r="A1718" i="25"/>
  <c r="AA1717" i="25"/>
  <c r="B1717" i="25"/>
  <c r="A1717" i="25"/>
  <c r="AA1716" i="25"/>
  <c r="B1716" i="25"/>
  <c r="A1716" i="25"/>
  <c r="AA1715" i="25"/>
  <c r="B1715" i="25"/>
  <c r="A1715" i="25"/>
  <c r="AA1714" i="25"/>
  <c r="B1714" i="25"/>
  <c r="A1714" i="25"/>
  <c r="AA1713" i="25"/>
  <c r="B1713" i="25"/>
  <c r="A1713" i="25"/>
  <c r="AA1712" i="25"/>
  <c r="B1712" i="25"/>
  <c r="A1712" i="25"/>
  <c r="AA1711" i="25"/>
  <c r="B1711" i="25"/>
  <c r="A1711" i="25"/>
  <c r="AA1710" i="25"/>
  <c r="B1710" i="25"/>
  <c r="A1710" i="25"/>
  <c r="AA1709" i="25"/>
  <c r="B1709" i="25"/>
  <c r="A1709" i="25"/>
  <c r="AA1708" i="25"/>
  <c r="B1708" i="25"/>
  <c r="A1708" i="25"/>
  <c r="AA1707" i="25"/>
  <c r="B1707" i="25"/>
  <c r="A1707" i="25"/>
  <c r="AA1706" i="25"/>
  <c r="B1706" i="25"/>
  <c r="A1706" i="25"/>
  <c r="AA1705" i="25"/>
  <c r="B1705" i="25"/>
  <c r="A1705" i="25"/>
  <c r="AA1704" i="25"/>
  <c r="B1704" i="25"/>
  <c r="A1704" i="25"/>
  <c r="AA1703" i="25"/>
  <c r="B1703" i="25"/>
  <c r="A1703" i="25"/>
  <c r="AA1702" i="25"/>
  <c r="B1702" i="25"/>
  <c r="A1702" i="25"/>
  <c r="AA1701" i="25"/>
  <c r="B1701" i="25"/>
  <c r="A1701" i="25"/>
  <c r="AA1700" i="25"/>
  <c r="B1700" i="25"/>
  <c r="A1700" i="25"/>
  <c r="AA1699" i="25"/>
  <c r="B1699" i="25"/>
  <c r="A1699" i="25"/>
  <c r="AA1698" i="25"/>
  <c r="B1698" i="25"/>
  <c r="A1698" i="25"/>
  <c r="AA1697" i="25"/>
  <c r="B1697" i="25"/>
  <c r="A1697" i="25"/>
  <c r="AA1696" i="25"/>
  <c r="B1696" i="25"/>
  <c r="A1696" i="25"/>
  <c r="AA1695" i="25"/>
  <c r="B1695" i="25"/>
  <c r="A1695" i="25"/>
  <c r="AA1694" i="25"/>
  <c r="B1694" i="25"/>
  <c r="A1694" i="25"/>
  <c r="AA1693" i="25"/>
  <c r="B1693" i="25"/>
  <c r="A1693" i="25"/>
  <c r="AA1692" i="25"/>
  <c r="B1692" i="25"/>
  <c r="A1692" i="25"/>
  <c r="AA1691" i="25"/>
  <c r="B1691" i="25"/>
  <c r="A1691" i="25"/>
  <c r="AA1690" i="25"/>
  <c r="B1690" i="25"/>
  <c r="A1690" i="25"/>
  <c r="AA1689" i="25"/>
  <c r="B1689" i="25"/>
  <c r="A1689" i="25"/>
  <c r="AA1688" i="25"/>
  <c r="B1688" i="25"/>
  <c r="A1688" i="25"/>
  <c r="AA1687" i="25"/>
  <c r="B1687" i="25"/>
  <c r="A1687" i="25"/>
  <c r="AA1686" i="25"/>
  <c r="B1686" i="25"/>
  <c r="A1686" i="25"/>
  <c r="AA1685" i="25"/>
  <c r="B1685" i="25"/>
  <c r="A1685" i="25"/>
  <c r="AA1684" i="25"/>
  <c r="B1684" i="25"/>
  <c r="A1684" i="25"/>
  <c r="AA1683" i="25"/>
  <c r="B1683" i="25"/>
  <c r="A1683" i="25"/>
  <c r="AA1682" i="25"/>
  <c r="B1682" i="25"/>
  <c r="A1682" i="25"/>
  <c r="AA1681" i="25"/>
  <c r="B1681" i="25"/>
  <c r="A1681" i="25"/>
  <c r="AA1680" i="25"/>
  <c r="B1680" i="25"/>
  <c r="A1680" i="25"/>
  <c r="AA1679" i="25"/>
  <c r="B1679" i="25"/>
  <c r="A1679" i="25"/>
  <c r="AA1678" i="25"/>
  <c r="B1678" i="25"/>
  <c r="A1678" i="25"/>
  <c r="AA1677" i="25"/>
  <c r="B1677" i="25"/>
  <c r="A1677" i="25"/>
  <c r="AA1676" i="25"/>
  <c r="B1676" i="25"/>
  <c r="A1676" i="25"/>
  <c r="AA1675" i="25"/>
  <c r="B1675" i="25"/>
  <c r="A1675" i="25"/>
  <c r="AA1674" i="25"/>
  <c r="B1674" i="25"/>
  <c r="A1674" i="25"/>
  <c r="AA1673" i="25"/>
  <c r="B1673" i="25"/>
  <c r="A1673" i="25"/>
  <c r="AA1672" i="25"/>
  <c r="B1672" i="25"/>
  <c r="A1672" i="25"/>
  <c r="AA1671" i="25"/>
  <c r="B1671" i="25"/>
  <c r="A1671" i="25"/>
  <c r="AA1670" i="25"/>
  <c r="B1670" i="25"/>
  <c r="A1670" i="25"/>
  <c r="AA1669" i="25"/>
  <c r="B1669" i="25"/>
  <c r="A1669" i="25"/>
  <c r="AA1668" i="25"/>
  <c r="B1668" i="25"/>
  <c r="A1668" i="25"/>
  <c r="AA1667" i="25"/>
  <c r="B1667" i="25"/>
  <c r="A1667" i="25"/>
  <c r="AA1666" i="25"/>
  <c r="B1666" i="25"/>
  <c r="A1666" i="25"/>
  <c r="AA1665" i="25"/>
  <c r="B1665" i="25"/>
  <c r="A1665" i="25"/>
  <c r="AA1664" i="25"/>
  <c r="B1664" i="25"/>
  <c r="A1664" i="25"/>
  <c r="AA1663" i="25"/>
  <c r="B1663" i="25"/>
  <c r="A1663" i="25"/>
  <c r="AA1662" i="25"/>
  <c r="B1662" i="25"/>
  <c r="A1662" i="25"/>
  <c r="AA1661" i="25"/>
  <c r="B1661" i="25"/>
  <c r="A1661" i="25"/>
  <c r="AA1660" i="25"/>
  <c r="B1660" i="25"/>
  <c r="A1660" i="25"/>
  <c r="AA1659" i="25"/>
  <c r="B1659" i="25"/>
  <c r="A1659" i="25"/>
  <c r="AA1658" i="25"/>
  <c r="B1658" i="25"/>
  <c r="A1658" i="25"/>
  <c r="AA1657" i="25"/>
  <c r="B1657" i="25"/>
  <c r="A1657" i="25"/>
  <c r="AA1656" i="25"/>
  <c r="B1656" i="25"/>
  <c r="A1656" i="25"/>
  <c r="AA1655" i="25"/>
  <c r="B1655" i="25"/>
  <c r="A1655" i="25"/>
  <c r="AA1654" i="25"/>
  <c r="B1654" i="25"/>
  <c r="A1654" i="25"/>
  <c r="AA1653" i="25"/>
  <c r="B1653" i="25"/>
  <c r="A1653" i="25"/>
  <c r="AA1652" i="25"/>
  <c r="B1652" i="25"/>
  <c r="A1652" i="25"/>
  <c r="AA1651" i="25"/>
  <c r="B1651" i="25"/>
  <c r="A1651" i="25"/>
  <c r="AA1650" i="25"/>
  <c r="B1650" i="25"/>
  <c r="A1650" i="25"/>
  <c r="AA1649" i="25"/>
  <c r="B1649" i="25"/>
  <c r="A1649" i="25"/>
  <c r="AA1648" i="25"/>
  <c r="B1648" i="25"/>
  <c r="A1648" i="25"/>
  <c r="AA1647" i="25"/>
  <c r="B1647" i="25"/>
  <c r="A1647" i="25"/>
  <c r="AA1646" i="25"/>
  <c r="B1646" i="25"/>
  <c r="A1646" i="25"/>
  <c r="AA1645" i="25"/>
  <c r="B1645" i="25"/>
  <c r="A1645" i="25"/>
  <c r="AA1644" i="25"/>
  <c r="B1644" i="25"/>
  <c r="A1644" i="25"/>
  <c r="AA1643" i="25"/>
  <c r="B1643" i="25"/>
  <c r="A1643" i="25"/>
  <c r="AA1642" i="25"/>
  <c r="B1642" i="25"/>
  <c r="A1642" i="25"/>
  <c r="AA1641" i="25"/>
  <c r="B1641" i="25"/>
  <c r="A1641" i="25"/>
  <c r="AA1640" i="25"/>
  <c r="B1640" i="25"/>
  <c r="A1640" i="25"/>
  <c r="AA1639" i="25"/>
  <c r="B1639" i="25"/>
  <c r="A1639" i="25"/>
  <c r="AA1638" i="25"/>
  <c r="B1638" i="25"/>
  <c r="A1638" i="25"/>
  <c r="AA1637" i="25"/>
  <c r="B1637" i="25"/>
  <c r="A1637" i="25"/>
  <c r="AA1636" i="25"/>
  <c r="B1636" i="25"/>
  <c r="A1636" i="25"/>
  <c r="AA1635" i="25"/>
  <c r="B1635" i="25"/>
  <c r="A1635" i="25"/>
  <c r="AA1634" i="25"/>
  <c r="B1634" i="25"/>
  <c r="A1634" i="25"/>
  <c r="V1633" i="25"/>
  <c r="A1633" i="25"/>
  <c r="V1632" i="25"/>
  <c r="A1632" i="25"/>
  <c r="V1631" i="25"/>
  <c r="A1631" i="25"/>
  <c r="V1630" i="25"/>
  <c r="A1630" i="25"/>
  <c r="V1629" i="25"/>
  <c r="A1629" i="25"/>
  <c r="V1628" i="25"/>
  <c r="A1628" i="25"/>
  <c r="AA1627" i="25"/>
  <c r="B1627" i="25"/>
  <c r="A1627" i="25"/>
  <c r="V1626" i="25"/>
  <c r="A1626" i="25"/>
  <c r="AA1625" i="25"/>
  <c r="B1625" i="25"/>
  <c r="A1625" i="25"/>
  <c r="AA1624" i="25"/>
  <c r="B1624" i="25"/>
  <c r="A1624" i="25"/>
  <c r="AA1623" i="25"/>
  <c r="B1623" i="25"/>
  <c r="A1623" i="25"/>
  <c r="AA1622" i="25"/>
  <c r="B1622" i="25"/>
  <c r="A1622" i="25"/>
  <c r="AA1621" i="25"/>
  <c r="B1621" i="25"/>
  <c r="A1621" i="25"/>
  <c r="AA1620" i="25"/>
  <c r="B1620" i="25"/>
  <c r="A1620" i="25"/>
  <c r="AA1619" i="25"/>
  <c r="B1619" i="25"/>
  <c r="A1619" i="25"/>
  <c r="AA1618" i="25"/>
  <c r="B1618" i="25"/>
  <c r="A1618" i="25"/>
  <c r="AA1617" i="25"/>
  <c r="B1617" i="25"/>
  <c r="A1617" i="25"/>
  <c r="AA1616" i="25"/>
  <c r="B1616" i="25"/>
  <c r="A1616" i="25"/>
  <c r="AA1615" i="25"/>
  <c r="B1615" i="25"/>
  <c r="A1615" i="25"/>
  <c r="AA1614" i="25"/>
  <c r="B1614" i="25"/>
  <c r="A1614" i="25"/>
  <c r="AA1613" i="25"/>
  <c r="B1613" i="25"/>
  <c r="A1613" i="25"/>
  <c r="AA1612" i="25"/>
  <c r="B1612" i="25"/>
  <c r="A1612" i="25"/>
  <c r="AA1611" i="25"/>
  <c r="B1611" i="25"/>
  <c r="A1611" i="25"/>
  <c r="AA1610" i="25"/>
  <c r="B1610" i="25"/>
  <c r="A1610" i="25"/>
  <c r="AA1609" i="25"/>
  <c r="B1609" i="25"/>
  <c r="A1609" i="25"/>
  <c r="AA1608" i="25"/>
  <c r="B1608" i="25"/>
  <c r="A1608" i="25"/>
  <c r="AA1607" i="25"/>
  <c r="B1607" i="25"/>
  <c r="A1607" i="25"/>
  <c r="AA1606" i="25"/>
  <c r="B1606" i="25"/>
  <c r="A1606" i="25"/>
  <c r="AA1605" i="25"/>
  <c r="B1605" i="25"/>
  <c r="A1605" i="25"/>
  <c r="AA1604" i="25"/>
  <c r="B1604" i="25"/>
  <c r="A1604" i="25"/>
  <c r="V1603" i="25"/>
  <c r="A1603" i="25"/>
  <c r="V1602" i="25"/>
  <c r="A1602" i="25"/>
  <c r="AA1601" i="25"/>
  <c r="B1601" i="25"/>
  <c r="A1601" i="25"/>
  <c r="V1600" i="25"/>
  <c r="A1600" i="25"/>
  <c r="AA1599" i="25"/>
  <c r="B1599" i="25"/>
  <c r="A1599" i="25"/>
  <c r="AA1598" i="25"/>
  <c r="B1598" i="25"/>
  <c r="A1598" i="25"/>
  <c r="AA1597" i="25"/>
  <c r="B1597" i="25"/>
  <c r="A1597" i="25"/>
  <c r="AA1596" i="25"/>
  <c r="B1596" i="25"/>
  <c r="A1596" i="25"/>
  <c r="Q1595" i="25"/>
  <c r="Q1594" i="25"/>
  <c r="Q1593" i="25"/>
  <c r="V1592" i="25"/>
  <c r="A1592" i="25"/>
  <c r="AA1591" i="25"/>
  <c r="B1591" i="25"/>
  <c r="A1591" i="25"/>
  <c r="AA1590" i="25"/>
  <c r="B1590" i="25"/>
  <c r="A1590" i="25"/>
  <c r="AA1589" i="25"/>
  <c r="B1589" i="25"/>
  <c r="A1589" i="25"/>
  <c r="V1588" i="25"/>
  <c r="A1588" i="25"/>
  <c r="AA1587" i="25"/>
  <c r="B1587" i="25"/>
  <c r="A1587" i="25"/>
  <c r="AA1586" i="25"/>
  <c r="B1586" i="25"/>
  <c r="A1586" i="25"/>
  <c r="AA1585" i="25"/>
  <c r="B1585" i="25"/>
  <c r="A1585" i="25"/>
  <c r="AA1584" i="25"/>
  <c r="B1584" i="25"/>
  <c r="A1584" i="25"/>
  <c r="AA1583" i="25"/>
  <c r="B1583" i="25"/>
  <c r="A1583" i="25"/>
  <c r="AA1582" i="25"/>
  <c r="B1582" i="25"/>
  <c r="A1582" i="25"/>
  <c r="AA1581" i="25"/>
  <c r="B1581" i="25"/>
  <c r="A1581" i="25"/>
  <c r="AA1580" i="25"/>
  <c r="B1580" i="25"/>
  <c r="A1580" i="25"/>
  <c r="AA1579" i="25"/>
  <c r="B1579" i="25"/>
  <c r="A1579" i="25"/>
  <c r="AA1578" i="25"/>
  <c r="B1578" i="25"/>
  <c r="A1578" i="25"/>
  <c r="AA1577" i="25"/>
  <c r="B1577" i="25"/>
  <c r="A1577" i="25"/>
  <c r="AA1576" i="25"/>
  <c r="B1576" i="25"/>
  <c r="A1576" i="25"/>
  <c r="AA1575" i="25"/>
  <c r="B1575" i="25"/>
  <c r="A1575" i="25"/>
  <c r="AA1574" i="25"/>
  <c r="B1574" i="25"/>
  <c r="A1574" i="25"/>
  <c r="AA1573" i="25"/>
  <c r="B1573" i="25"/>
  <c r="A1573" i="25"/>
  <c r="AA1572" i="25"/>
  <c r="B1572" i="25"/>
  <c r="A1572" i="25"/>
  <c r="AA1571" i="25"/>
  <c r="B1571" i="25"/>
  <c r="A1571" i="25"/>
  <c r="AA1570" i="25"/>
  <c r="B1570" i="25"/>
  <c r="A1570" i="25"/>
  <c r="AA1569" i="25"/>
  <c r="B1569" i="25"/>
  <c r="A1569" i="25"/>
  <c r="AA1568" i="25"/>
  <c r="B1568" i="25"/>
  <c r="A1568" i="25"/>
  <c r="AA1567" i="25"/>
  <c r="B1567" i="25"/>
  <c r="A1567" i="25"/>
  <c r="AA1566" i="25"/>
  <c r="B1566" i="25"/>
  <c r="A1566" i="25"/>
  <c r="AA1565" i="25"/>
  <c r="B1565" i="25"/>
  <c r="A1565" i="25"/>
  <c r="AA1564" i="25"/>
  <c r="B1564" i="25"/>
  <c r="A1564" i="25"/>
  <c r="AA1563" i="25"/>
  <c r="B1563" i="25"/>
  <c r="A1563" i="25"/>
  <c r="AA1562" i="25"/>
  <c r="B1562" i="25"/>
  <c r="A1562" i="25"/>
  <c r="AA1561" i="25"/>
  <c r="B1561" i="25"/>
  <c r="A1561" i="25"/>
  <c r="AA1560" i="25"/>
  <c r="B1560" i="25"/>
  <c r="A1560" i="25"/>
  <c r="AA1559" i="25"/>
  <c r="B1559" i="25"/>
  <c r="A1559" i="25"/>
  <c r="AA1558" i="25"/>
  <c r="B1558" i="25"/>
  <c r="A1558" i="25"/>
  <c r="AA1557" i="25"/>
  <c r="B1557" i="25"/>
  <c r="A1557" i="25"/>
  <c r="AA1556" i="25"/>
  <c r="B1556" i="25"/>
  <c r="A1556" i="25"/>
  <c r="AA1555" i="25"/>
  <c r="B1555" i="25"/>
  <c r="A1555" i="25"/>
  <c r="AA1554" i="25"/>
  <c r="B1554" i="25"/>
  <c r="A1554" i="25"/>
  <c r="AA1553" i="25"/>
  <c r="B1553" i="25"/>
  <c r="A1553" i="25"/>
  <c r="AA1552" i="25"/>
  <c r="B1552" i="25"/>
  <c r="A1552" i="25"/>
  <c r="AA1551" i="25"/>
  <c r="B1551" i="25"/>
  <c r="A1551" i="25"/>
  <c r="AA1550" i="25"/>
  <c r="B1550" i="25"/>
  <c r="A1550" i="25"/>
  <c r="AA1549" i="25"/>
  <c r="B1549" i="25"/>
  <c r="A1549" i="25"/>
  <c r="AA1548" i="25"/>
  <c r="B1548" i="25"/>
  <c r="A1548" i="25"/>
  <c r="Q1547" i="25"/>
  <c r="Q1546" i="25"/>
  <c r="AA1545" i="25"/>
  <c r="B1545" i="25"/>
  <c r="A1545" i="25"/>
  <c r="V1544" i="25"/>
  <c r="A1544" i="25"/>
  <c r="V1543" i="25"/>
  <c r="A1543" i="25"/>
  <c r="AA1542" i="25"/>
  <c r="B1542" i="25"/>
  <c r="A1542" i="25"/>
  <c r="V1541" i="25"/>
  <c r="A1541" i="25"/>
  <c r="AA1540" i="25"/>
  <c r="B1540" i="25"/>
  <c r="A1540" i="25"/>
  <c r="AA1539" i="25"/>
  <c r="B1539" i="25"/>
  <c r="A1539" i="25"/>
  <c r="AA1538" i="25"/>
  <c r="B1538" i="25"/>
  <c r="A1538" i="25"/>
  <c r="AA1537" i="25"/>
  <c r="B1537" i="25"/>
  <c r="A1537" i="25"/>
  <c r="AA1536" i="25"/>
  <c r="B1536" i="25"/>
  <c r="A1536" i="25"/>
  <c r="AA1535" i="25"/>
  <c r="B1535" i="25"/>
  <c r="A1535" i="25"/>
  <c r="AA1534" i="25"/>
  <c r="B1534" i="25"/>
  <c r="A1534" i="25"/>
  <c r="AA1533" i="25"/>
  <c r="B1533" i="25"/>
  <c r="A1533" i="25"/>
  <c r="AA1532" i="25"/>
  <c r="B1532" i="25"/>
  <c r="A1532" i="25"/>
  <c r="AA1531" i="25"/>
  <c r="B1531" i="25"/>
  <c r="A1531" i="25"/>
  <c r="AA1530" i="25"/>
  <c r="B1530" i="25"/>
  <c r="A1530" i="25"/>
  <c r="AA1529" i="25"/>
  <c r="B1529" i="25"/>
  <c r="A1529" i="25"/>
  <c r="AA1528" i="25"/>
  <c r="B1528" i="25"/>
  <c r="A1528" i="25"/>
  <c r="AA1527" i="25"/>
  <c r="B1527" i="25"/>
  <c r="A1527" i="25"/>
  <c r="AA1526" i="25"/>
  <c r="B1526" i="25"/>
  <c r="A1526" i="25"/>
  <c r="AA1525" i="25"/>
  <c r="B1525" i="25"/>
  <c r="A1525" i="25"/>
  <c r="AA1524" i="25"/>
  <c r="B1524" i="25"/>
  <c r="A1524" i="25"/>
  <c r="AA1523" i="25"/>
  <c r="B1523" i="25"/>
  <c r="A1523" i="25"/>
  <c r="AA1522" i="25"/>
  <c r="B1522" i="25"/>
  <c r="A1522" i="25"/>
  <c r="AA1521" i="25"/>
  <c r="B1521" i="25"/>
  <c r="A1521" i="25"/>
  <c r="AA1520" i="25"/>
  <c r="B1520" i="25"/>
  <c r="A1520" i="25"/>
  <c r="AA1519" i="25"/>
  <c r="B1519" i="25"/>
  <c r="A1519" i="25"/>
  <c r="AA1518" i="25"/>
  <c r="B1518" i="25"/>
  <c r="A1518" i="25"/>
  <c r="AA1517" i="25"/>
  <c r="B1517" i="25"/>
  <c r="A1517" i="25"/>
  <c r="AA1516" i="25"/>
  <c r="B1516" i="25"/>
  <c r="A1516" i="25"/>
  <c r="AA1515" i="25"/>
  <c r="B1515" i="25"/>
  <c r="A1515" i="25"/>
  <c r="AA1514" i="25"/>
  <c r="B1514" i="25"/>
  <c r="A1514" i="25"/>
  <c r="AA1513" i="25"/>
  <c r="B1513" i="25"/>
  <c r="A1513" i="25"/>
  <c r="AA1512" i="25"/>
  <c r="B1512" i="25"/>
  <c r="A1512" i="25"/>
  <c r="AA1511" i="25"/>
  <c r="B1511" i="25"/>
  <c r="A1511" i="25"/>
  <c r="AA1510" i="25"/>
  <c r="B1510" i="25"/>
  <c r="A1510" i="25"/>
  <c r="AA1509" i="25"/>
  <c r="B1509" i="25"/>
  <c r="A1509" i="25"/>
  <c r="AA1508" i="25"/>
  <c r="B1508" i="25"/>
  <c r="A1508" i="25"/>
  <c r="AA1507" i="25"/>
  <c r="B1507" i="25"/>
  <c r="A1507" i="25"/>
  <c r="AA1506" i="25"/>
  <c r="B1506" i="25"/>
  <c r="A1506" i="25"/>
  <c r="AA1505" i="25"/>
  <c r="B1505" i="25"/>
  <c r="A1505" i="25"/>
  <c r="Q1504" i="25"/>
  <c r="AA1503" i="25"/>
  <c r="B1503" i="25"/>
  <c r="A1503" i="25"/>
  <c r="AA1502" i="25"/>
  <c r="B1502" i="25"/>
  <c r="A1502" i="25"/>
  <c r="AA1501" i="25"/>
  <c r="B1501" i="25"/>
  <c r="A1501" i="25"/>
  <c r="AA1500" i="25"/>
  <c r="B1500" i="25"/>
  <c r="A1500" i="25"/>
  <c r="AA1499" i="25"/>
  <c r="B1499" i="25"/>
  <c r="A1499" i="25"/>
  <c r="AA1498" i="25"/>
  <c r="B1498" i="25"/>
  <c r="A1498" i="25"/>
  <c r="AA1497" i="25"/>
  <c r="B1497" i="25"/>
  <c r="A1497" i="25"/>
  <c r="AA1496" i="25"/>
  <c r="B1496" i="25"/>
  <c r="A1496" i="25"/>
  <c r="AA1495" i="25"/>
  <c r="B1495" i="25"/>
  <c r="A1495" i="25"/>
  <c r="AA1494" i="25"/>
  <c r="B1494" i="25"/>
  <c r="A1494" i="25"/>
  <c r="AA1493" i="25"/>
  <c r="B1493" i="25"/>
  <c r="A1493" i="25"/>
  <c r="AA1492" i="25"/>
  <c r="B1492" i="25"/>
  <c r="A1492" i="25"/>
  <c r="AA1491" i="25"/>
  <c r="B1491" i="25"/>
  <c r="A1491" i="25"/>
  <c r="AA1490" i="25"/>
  <c r="B1490" i="25"/>
  <c r="A1490" i="25"/>
  <c r="AA1489" i="25"/>
  <c r="B1489" i="25"/>
  <c r="A1489" i="25"/>
  <c r="AA1488" i="25"/>
  <c r="B1488" i="25"/>
  <c r="A1488" i="25"/>
  <c r="V1487" i="25"/>
  <c r="A1487" i="25"/>
  <c r="V1486" i="25"/>
  <c r="A1486" i="25"/>
  <c r="AA1485" i="25"/>
  <c r="B1485" i="25"/>
  <c r="A1485" i="25"/>
  <c r="AA1484" i="25"/>
  <c r="B1484" i="25"/>
  <c r="A1484" i="25"/>
  <c r="AA1483" i="25"/>
  <c r="B1483" i="25"/>
  <c r="A1483" i="25"/>
  <c r="AA1482" i="25"/>
  <c r="B1482" i="25"/>
  <c r="A1482" i="25"/>
  <c r="AA1481" i="25"/>
  <c r="B1481" i="25"/>
  <c r="A1481" i="25"/>
  <c r="AA1480" i="25"/>
  <c r="B1480" i="25"/>
  <c r="A1480" i="25"/>
  <c r="AA1479" i="25"/>
  <c r="B1479" i="25"/>
  <c r="A1479" i="25"/>
  <c r="AA1478" i="25"/>
  <c r="B1478" i="25"/>
  <c r="A1478" i="25"/>
  <c r="AA1477" i="25"/>
  <c r="B1477" i="25"/>
  <c r="A1477" i="25"/>
  <c r="AA1476" i="25"/>
  <c r="B1476" i="25"/>
  <c r="A1476" i="25"/>
  <c r="AA1475" i="25"/>
  <c r="B1475" i="25"/>
  <c r="A1475" i="25"/>
  <c r="AA1474" i="25"/>
  <c r="B1474" i="25"/>
  <c r="A1474" i="25"/>
  <c r="AA1473" i="25"/>
  <c r="B1473" i="25"/>
  <c r="A1473" i="25"/>
  <c r="AA1472" i="25"/>
  <c r="B1472" i="25"/>
  <c r="A1472" i="25"/>
  <c r="AA1471" i="25"/>
  <c r="B1471" i="25"/>
  <c r="A1471" i="25"/>
  <c r="AA1470" i="25"/>
  <c r="B1470" i="25"/>
  <c r="A1470" i="25"/>
  <c r="AA1469" i="25"/>
  <c r="B1469" i="25"/>
  <c r="A1469" i="25"/>
  <c r="AA1468" i="25"/>
  <c r="B1468" i="25"/>
  <c r="A1468" i="25"/>
  <c r="AA1467" i="25"/>
  <c r="B1467" i="25"/>
  <c r="A1467" i="25"/>
  <c r="AA1466" i="25"/>
  <c r="B1466" i="25"/>
  <c r="A1466" i="25"/>
  <c r="AA1465" i="25"/>
  <c r="B1465" i="25"/>
  <c r="A1465" i="25"/>
  <c r="AA1464" i="25"/>
  <c r="B1464" i="25"/>
  <c r="A1464" i="25"/>
  <c r="AA1463" i="25"/>
  <c r="B1463" i="25"/>
  <c r="A1463" i="25"/>
  <c r="AA1462" i="25"/>
  <c r="B1462" i="25"/>
  <c r="A1462" i="25"/>
  <c r="AA1461" i="25"/>
  <c r="B1461" i="25"/>
  <c r="A1461" i="25"/>
  <c r="AA1460" i="25"/>
  <c r="B1460" i="25"/>
  <c r="A1460" i="25"/>
  <c r="AA1459" i="25"/>
  <c r="B1459" i="25"/>
  <c r="A1459" i="25"/>
  <c r="AA1458" i="25"/>
  <c r="B1458" i="25"/>
  <c r="A1458" i="25"/>
  <c r="AA1457" i="25"/>
  <c r="B1457" i="25"/>
  <c r="A1457" i="25"/>
  <c r="AA1456" i="25"/>
  <c r="B1456" i="25"/>
  <c r="A1456" i="25"/>
  <c r="AA1455" i="25"/>
  <c r="B1455" i="25"/>
  <c r="A1455" i="25"/>
  <c r="AA1454" i="25"/>
  <c r="B1454" i="25"/>
  <c r="A1454" i="25"/>
  <c r="AA1453" i="25"/>
  <c r="B1453" i="25"/>
  <c r="A1453" i="25"/>
  <c r="AA1452" i="25"/>
  <c r="B1452" i="25"/>
  <c r="A1452" i="25"/>
  <c r="AA1451" i="25"/>
  <c r="B1451" i="25"/>
  <c r="A1451" i="25"/>
  <c r="AA1450" i="25"/>
  <c r="B1450" i="25"/>
  <c r="A1450" i="25"/>
  <c r="AA1449" i="25"/>
  <c r="B1449" i="25"/>
  <c r="A1449" i="25"/>
  <c r="AA1448" i="25"/>
  <c r="B1448" i="25"/>
  <c r="A1448" i="25"/>
  <c r="AA1447" i="25"/>
  <c r="B1447" i="25"/>
  <c r="A1447" i="25"/>
  <c r="AA1446" i="25"/>
  <c r="B1446" i="25"/>
  <c r="A1446" i="25"/>
  <c r="AA1445" i="25"/>
  <c r="B1445" i="25"/>
  <c r="A1445" i="25"/>
  <c r="AA1444" i="25"/>
  <c r="B1444" i="25"/>
  <c r="A1444" i="25"/>
  <c r="AA1443" i="25"/>
  <c r="B1443" i="25"/>
  <c r="A1443" i="25"/>
  <c r="AA1442" i="25"/>
  <c r="B1442" i="25"/>
  <c r="A1442" i="25"/>
  <c r="AA1441" i="25"/>
  <c r="B1441" i="25"/>
  <c r="A1441" i="25"/>
  <c r="AA1440" i="25"/>
  <c r="B1440" i="25"/>
  <c r="A1440" i="25"/>
  <c r="AA1439" i="25"/>
  <c r="B1439" i="25"/>
  <c r="A1439" i="25"/>
  <c r="AA1438" i="25"/>
  <c r="B1438" i="25"/>
  <c r="A1438" i="25"/>
  <c r="AA1437" i="25"/>
  <c r="B1437" i="25"/>
  <c r="A1437" i="25"/>
  <c r="AA1436" i="25"/>
  <c r="B1436" i="25"/>
  <c r="A1436" i="25"/>
  <c r="AA1435" i="25"/>
  <c r="B1435" i="25"/>
  <c r="A1435" i="25"/>
  <c r="AA1434" i="25"/>
  <c r="B1434" i="25"/>
  <c r="A1434" i="25"/>
  <c r="AA1433" i="25"/>
  <c r="B1433" i="25"/>
  <c r="A1433" i="25"/>
  <c r="AA1432" i="25"/>
  <c r="B1432" i="25"/>
  <c r="A1432" i="25"/>
  <c r="AA1431" i="25"/>
  <c r="B1431" i="25"/>
  <c r="A1431" i="25"/>
  <c r="AA1430" i="25"/>
  <c r="B1430" i="25"/>
  <c r="A1430" i="25"/>
  <c r="AA1429" i="25"/>
  <c r="B1429" i="25"/>
  <c r="A1429" i="25"/>
  <c r="AA1428" i="25"/>
  <c r="B1428" i="25"/>
  <c r="A1428" i="25"/>
  <c r="AA1427" i="25"/>
  <c r="B1427" i="25"/>
  <c r="A1427" i="25"/>
  <c r="AA1426" i="25"/>
  <c r="B1426" i="25"/>
  <c r="A1426" i="25"/>
  <c r="AA1425" i="25"/>
  <c r="B1425" i="25"/>
  <c r="A1425" i="25"/>
  <c r="AA1424" i="25"/>
  <c r="B1424" i="25"/>
  <c r="A1424" i="25"/>
  <c r="AA1423" i="25"/>
  <c r="B1423" i="25"/>
  <c r="A1423" i="25"/>
  <c r="AA1422" i="25"/>
  <c r="B1422" i="25"/>
  <c r="A1422" i="25"/>
  <c r="AA1421" i="25"/>
  <c r="B1421" i="25"/>
  <c r="A1421" i="25"/>
  <c r="AA1420" i="25"/>
  <c r="B1420" i="25"/>
  <c r="A1420" i="25"/>
  <c r="AA1419" i="25"/>
  <c r="B1419" i="25"/>
  <c r="A1419" i="25"/>
  <c r="AA1418" i="25"/>
  <c r="B1418" i="25"/>
  <c r="A1418" i="25"/>
  <c r="AA1417" i="25"/>
  <c r="B1417" i="25"/>
  <c r="A1417" i="25"/>
  <c r="AA1416" i="25"/>
  <c r="B1416" i="25"/>
  <c r="A1416" i="25"/>
  <c r="AA1415" i="25"/>
  <c r="B1415" i="25"/>
  <c r="A1415" i="25"/>
  <c r="AA1414" i="25"/>
  <c r="B1414" i="25"/>
  <c r="A1414" i="25"/>
  <c r="AA1413" i="25"/>
  <c r="B1413" i="25"/>
  <c r="A1413" i="25"/>
  <c r="AA1412" i="25"/>
  <c r="B1412" i="25"/>
  <c r="A1412" i="25"/>
  <c r="AA1411" i="25"/>
  <c r="B1411" i="25"/>
  <c r="A1411" i="25"/>
  <c r="AA1410" i="25"/>
  <c r="B1410" i="25"/>
  <c r="A1410" i="25"/>
  <c r="AA1409" i="25"/>
  <c r="B1409" i="25"/>
  <c r="A1409" i="25"/>
  <c r="AA1408" i="25"/>
  <c r="B1408" i="25"/>
  <c r="A1408" i="25"/>
  <c r="AA1407" i="25"/>
  <c r="B1407" i="25"/>
  <c r="A1407" i="25"/>
  <c r="AA1406" i="25"/>
  <c r="B1406" i="25"/>
  <c r="A1406" i="25"/>
  <c r="AA1405" i="25"/>
  <c r="B1405" i="25"/>
  <c r="A1405" i="25"/>
  <c r="AA1404" i="25"/>
  <c r="B1404" i="25"/>
  <c r="A1404" i="25"/>
  <c r="AA1403" i="25"/>
  <c r="B1403" i="25"/>
  <c r="A1403" i="25"/>
  <c r="AA1402" i="25"/>
  <c r="B1402" i="25"/>
  <c r="A1402" i="25"/>
  <c r="AA1401" i="25"/>
  <c r="B1401" i="25"/>
  <c r="A1401" i="25"/>
  <c r="AA1400" i="25"/>
  <c r="B1400" i="25"/>
  <c r="A1400" i="25"/>
  <c r="AA1399" i="25"/>
  <c r="B1399" i="25"/>
  <c r="A1399" i="25"/>
  <c r="AA1398" i="25"/>
  <c r="B1398" i="25"/>
  <c r="A1398" i="25"/>
  <c r="AA1397" i="25"/>
  <c r="B1397" i="25"/>
  <c r="A1397" i="25"/>
  <c r="AA1396" i="25"/>
  <c r="B1396" i="25"/>
  <c r="A1396" i="25"/>
  <c r="AA1395" i="25"/>
  <c r="B1395" i="25"/>
  <c r="A1395" i="25"/>
  <c r="AA1394" i="25"/>
  <c r="B1394" i="25"/>
  <c r="A1394" i="25"/>
  <c r="AA1393" i="25"/>
  <c r="B1393" i="25"/>
  <c r="A1393" i="25"/>
  <c r="AA1392" i="25"/>
  <c r="B1392" i="25"/>
  <c r="A1392" i="25"/>
  <c r="AA1391" i="25"/>
  <c r="B1391" i="25"/>
  <c r="A1391" i="25"/>
  <c r="AA1390" i="25"/>
  <c r="B1390" i="25"/>
  <c r="A1390" i="25"/>
  <c r="AA1389" i="25"/>
  <c r="B1389" i="25"/>
  <c r="A1389" i="25"/>
  <c r="AA1388" i="25"/>
  <c r="B1388" i="25"/>
  <c r="A1388" i="25"/>
  <c r="V1387" i="25"/>
  <c r="A1387" i="25"/>
  <c r="AA1386" i="25"/>
  <c r="B1386" i="25"/>
  <c r="A1386" i="25"/>
  <c r="AA1385" i="25"/>
  <c r="B1385" i="25"/>
  <c r="A1385" i="25"/>
  <c r="AA1384" i="25"/>
  <c r="B1384" i="25"/>
  <c r="A1384" i="25"/>
  <c r="AA1383" i="25"/>
  <c r="B1383" i="25"/>
  <c r="A1383" i="25"/>
  <c r="AA1382" i="25"/>
  <c r="B1382" i="25"/>
  <c r="A1382" i="25"/>
  <c r="AA1381" i="25"/>
  <c r="B1381" i="25"/>
  <c r="A1381" i="25"/>
  <c r="AA1380" i="25"/>
  <c r="B1380" i="25"/>
  <c r="A1380" i="25"/>
  <c r="AA1379" i="25"/>
  <c r="B1379" i="25"/>
  <c r="A1379" i="25"/>
  <c r="AA1378" i="25"/>
  <c r="B1378" i="25"/>
  <c r="A1378" i="25"/>
  <c r="AA1377" i="25"/>
  <c r="B1377" i="25"/>
  <c r="A1377" i="25"/>
  <c r="AA1376" i="25"/>
  <c r="B1376" i="25"/>
  <c r="A1376" i="25"/>
  <c r="AA1375" i="25"/>
  <c r="B1375" i="25"/>
  <c r="A1375" i="25"/>
  <c r="AA1374" i="25"/>
  <c r="B1374" i="25"/>
  <c r="A1374" i="25"/>
  <c r="AA1373" i="25"/>
  <c r="B1373" i="25"/>
  <c r="A1373" i="25"/>
  <c r="AA1372" i="25"/>
  <c r="B1372" i="25"/>
  <c r="A1372" i="25"/>
  <c r="AA1371" i="25"/>
  <c r="B1371" i="25"/>
  <c r="A1371" i="25"/>
  <c r="AA1370" i="25"/>
  <c r="B1370" i="25"/>
  <c r="A1370" i="25"/>
  <c r="AA1369" i="25"/>
  <c r="B1369" i="25"/>
  <c r="A1369" i="25"/>
  <c r="AA1368" i="25"/>
  <c r="B1368" i="25"/>
  <c r="A1368" i="25"/>
  <c r="AA1367" i="25"/>
  <c r="B1367" i="25"/>
  <c r="A1367" i="25"/>
  <c r="AA1366" i="25"/>
  <c r="B1366" i="25"/>
  <c r="A1366" i="25"/>
  <c r="AA1365" i="25"/>
  <c r="B1365" i="25"/>
  <c r="A1365" i="25"/>
  <c r="AA1364" i="25"/>
  <c r="B1364" i="25"/>
  <c r="A1364" i="25"/>
  <c r="AA1363" i="25"/>
  <c r="B1363" i="25"/>
  <c r="A1363" i="25"/>
  <c r="V1362" i="25"/>
  <c r="A1362" i="25"/>
  <c r="AA1361" i="25"/>
  <c r="B1361" i="25"/>
  <c r="A1361" i="25"/>
  <c r="AA1360" i="25"/>
  <c r="B1360" i="25"/>
  <c r="A1360" i="25"/>
  <c r="AA1359" i="25"/>
  <c r="B1359" i="25"/>
  <c r="A1359" i="25"/>
  <c r="AA1358" i="25"/>
  <c r="B1358" i="25"/>
  <c r="A1358" i="25"/>
  <c r="AA1357" i="25"/>
  <c r="B1357" i="25"/>
  <c r="A1357" i="25"/>
  <c r="AA1356" i="25"/>
  <c r="B1356" i="25"/>
  <c r="A1356" i="25"/>
  <c r="AA1355" i="25"/>
  <c r="B1355" i="25"/>
  <c r="A1355" i="25"/>
  <c r="AA1354" i="25"/>
  <c r="B1354" i="25"/>
  <c r="A1354" i="25"/>
  <c r="AA1353" i="25"/>
  <c r="B1353" i="25"/>
  <c r="A1353" i="25"/>
  <c r="AA1352" i="25"/>
  <c r="B1352" i="25"/>
  <c r="A1352" i="25"/>
  <c r="AA1351" i="25"/>
  <c r="B1351" i="25"/>
  <c r="A1351" i="25"/>
  <c r="AA1350" i="25"/>
  <c r="B1350" i="25"/>
  <c r="A1350" i="25"/>
  <c r="AA1349" i="25"/>
  <c r="B1349" i="25"/>
  <c r="A1349" i="25"/>
  <c r="AA1348" i="25"/>
  <c r="B1348" i="25"/>
  <c r="AA1347" i="25"/>
  <c r="B1347" i="25"/>
  <c r="AA1346" i="25"/>
  <c r="B1346" i="25"/>
  <c r="AA1345" i="25"/>
  <c r="B1345" i="25"/>
  <c r="AA1344" i="25"/>
  <c r="B1344" i="25"/>
  <c r="AA1343" i="25"/>
  <c r="B1343" i="25"/>
  <c r="AA1342" i="25"/>
  <c r="B1342" i="25"/>
  <c r="A1342" i="25"/>
  <c r="AA1341" i="25"/>
  <c r="B1341" i="25"/>
  <c r="A1341" i="25"/>
  <c r="AA1340" i="25"/>
  <c r="B1340" i="25"/>
  <c r="A1340" i="25"/>
  <c r="AA1339" i="25"/>
  <c r="B1339" i="25"/>
  <c r="A1339" i="25"/>
  <c r="AA1338" i="25"/>
  <c r="B1338" i="25"/>
  <c r="A1338" i="25"/>
  <c r="AA1337" i="25"/>
  <c r="B1337" i="25"/>
  <c r="A1337" i="25"/>
  <c r="AA1336" i="25"/>
  <c r="B1336" i="25"/>
  <c r="A1336" i="25"/>
  <c r="AA1335" i="25"/>
  <c r="B1335" i="25"/>
  <c r="A1335" i="25"/>
  <c r="AA1334" i="25"/>
  <c r="B1334" i="25"/>
  <c r="A1334" i="25"/>
  <c r="AA1333" i="25"/>
  <c r="B1333" i="25"/>
  <c r="A1333" i="25"/>
  <c r="AA1332" i="25"/>
  <c r="B1332" i="25"/>
  <c r="A1332" i="25"/>
  <c r="AA1331" i="25"/>
  <c r="B1331" i="25"/>
  <c r="A1331" i="25"/>
  <c r="AA1330" i="25"/>
  <c r="B1330" i="25"/>
  <c r="A1330" i="25"/>
  <c r="AA1329" i="25"/>
  <c r="B1329" i="25"/>
  <c r="A1329" i="25"/>
  <c r="AA1328" i="25"/>
  <c r="B1328" i="25"/>
  <c r="A1328" i="25"/>
  <c r="AA1327" i="25"/>
  <c r="B1327" i="25"/>
  <c r="A1327" i="25"/>
  <c r="AA1326" i="25"/>
  <c r="B1326" i="25"/>
  <c r="A1326" i="25"/>
  <c r="AA1325" i="25"/>
  <c r="B1325" i="25"/>
  <c r="A1325" i="25"/>
  <c r="AA1324" i="25"/>
  <c r="B1324" i="25"/>
  <c r="A1324" i="25"/>
  <c r="AA1323" i="25"/>
  <c r="B1323" i="25"/>
  <c r="A1323" i="25"/>
  <c r="AA1322" i="25"/>
  <c r="B1322" i="25"/>
  <c r="A1322" i="25"/>
  <c r="AA1321" i="25"/>
  <c r="B1321" i="25"/>
  <c r="A1321" i="25"/>
  <c r="AA1320" i="25"/>
  <c r="B1320" i="25"/>
  <c r="A1320" i="25"/>
  <c r="AA1319" i="25"/>
  <c r="B1319" i="25"/>
  <c r="A1319" i="25"/>
  <c r="AA1318" i="25"/>
  <c r="B1318" i="25"/>
  <c r="A1318" i="25"/>
  <c r="AA1317" i="25"/>
  <c r="B1317" i="25"/>
  <c r="A1317" i="25"/>
  <c r="AA1316" i="25"/>
  <c r="B1316" i="25"/>
  <c r="A1316" i="25"/>
  <c r="AA1315" i="25"/>
  <c r="B1315" i="25"/>
  <c r="A1315" i="25"/>
  <c r="AA1314" i="25"/>
  <c r="B1314" i="25"/>
  <c r="A1314" i="25"/>
  <c r="AA1313" i="25"/>
  <c r="B1313" i="25"/>
  <c r="A1313" i="25"/>
  <c r="V1312" i="25"/>
  <c r="A1312" i="25"/>
  <c r="AA1311" i="25"/>
  <c r="B1311" i="25"/>
  <c r="A1311" i="25"/>
  <c r="AA1310" i="25"/>
  <c r="B1310" i="25"/>
  <c r="A1310" i="25"/>
  <c r="AA1309" i="25"/>
  <c r="B1309" i="25"/>
  <c r="A1309" i="25"/>
  <c r="AA1308" i="25"/>
  <c r="B1308" i="25"/>
  <c r="A1308" i="25"/>
  <c r="AA1307" i="25"/>
  <c r="B1307" i="25"/>
  <c r="A1307" i="25"/>
  <c r="AA1306" i="25"/>
  <c r="B1306" i="25"/>
  <c r="A1306" i="25"/>
  <c r="B1305" i="25"/>
  <c r="A1305" i="25"/>
  <c r="AA1304" i="25"/>
  <c r="B1304" i="25"/>
  <c r="A1304" i="25"/>
  <c r="AA1303" i="25"/>
  <c r="B1303" i="25"/>
  <c r="A1303" i="25"/>
  <c r="AA1302" i="25"/>
  <c r="B1302" i="25"/>
  <c r="A1302" i="25"/>
  <c r="AA1301" i="25"/>
  <c r="B1301" i="25"/>
  <c r="A1301" i="25"/>
  <c r="AA1300" i="25"/>
  <c r="B1300" i="25"/>
  <c r="A1300" i="25"/>
  <c r="V1299" i="25"/>
  <c r="A1299" i="25"/>
  <c r="AA1298" i="25"/>
  <c r="B1298" i="25"/>
  <c r="A1298" i="25"/>
  <c r="AA1297" i="25"/>
  <c r="B1297" i="25"/>
  <c r="A1297" i="25"/>
  <c r="AA1296" i="25"/>
  <c r="B1296" i="25"/>
  <c r="A1296" i="25"/>
  <c r="AA1295" i="25"/>
  <c r="B1295" i="25"/>
  <c r="A1295" i="25"/>
  <c r="AA1294" i="25"/>
  <c r="B1294" i="25"/>
  <c r="A1294" i="25"/>
  <c r="V1293" i="25"/>
  <c r="A1293" i="25"/>
  <c r="V1292" i="25"/>
  <c r="A1292" i="25"/>
  <c r="AA1291" i="25"/>
  <c r="B1291" i="25"/>
  <c r="A1291" i="25"/>
  <c r="AA1290" i="25"/>
  <c r="B1290" i="25"/>
  <c r="A1290" i="25"/>
  <c r="V1289" i="25"/>
  <c r="A1289" i="25"/>
  <c r="V1288" i="25"/>
  <c r="A1288" i="25"/>
  <c r="AA1287" i="25"/>
  <c r="B1287" i="25"/>
  <c r="A1287" i="25"/>
  <c r="AA1286" i="25"/>
  <c r="B1286" i="25"/>
  <c r="A1286" i="25"/>
  <c r="V1285" i="25"/>
  <c r="A1285" i="25"/>
  <c r="V1284" i="25"/>
  <c r="A1284" i="25"/>
  <c r="V1283" i="25"/>
  <c r="A1283" i="25"/>
  <c r="V1282" i="25"/>
  <c r="A1282" i="25"/>
  <c r="V1281" i="25"/>
  <c r="A1281" i="25"/>
  <c r="AA1280" i="25"/>
  <c r="B1280" i="25"/>
  <c r="A1280" i="25"/>
  <c r="AA1279" i="25"/>
  <c r="B1279" i="25"/>
  <c r="A1279" i="25"/>
  <c r="AA1278" i="25"/>
  <c r="B1278" i="25"/>
  <c r="A1278" i="25"/>
  <c r="V1277" i="25"/>
  <c r="A1277" i="25"/>
  <c r="V1276" i="25"/>
  <c r="A1276" i="25"/>
  <c r="V1275" i="25"/>
  <c r="A1275" i="25"/>
  <c r="V1274" i="25"/>
  <c r="A1274" i="25"/>
  <c r="AA1273" i="25"/>
  <c r="B1273" i="25"/>
  <c r="A1273" i="25"/>
  <c r="AA1272" i="25"/>
  <c r="B1272" i="25"/>
  <c r="A1272" i="25"/>
  <c r="AA1271" i="25"/>
  <c r="B1271" i="25"/>
  <c r="A1271" i="25"/>
  <c r="V1270" i="25"/>
  <c r="A1270" i="25"/>
  <c r="AA1269" i="25"/>
  <c r="B1269" i="25"/>
  <c r="A1269" i="25"/>
  <c r="V1268" i="25"/>
  <c r="A1268" i="25"/>
  <c r="AA1267" i="25"/>
  <c r="B1267" i="25"/>
  <c r="A1267" i="25"/>
  <c r="V1266" i="25"/>
  <c r="A1266" i="25"/>
  <c r="AA1265" i="25"/>
  <c r="B1265" i="25"/>
  <c r="AA1264" i="25"/>
  <c r="B1264" i="25"/>
  <c r="AA1263" i="25"/>
  <c r="B1263" i="25"/>
  <c r="AA1262" i="25"/>
  <c r="B1262" i="25"/>
  <c r="A1262" i="25"/>
  <c r="AA1261" i="25"/>
  <c r="B1261" i="25"/>
  <c r="AA1260" i="25"/>
  <c r="B1260" i="25"/>
  <c r="AA1259" i="25"/>
  <c r="B1259" i="25"/>
  <c r="AA1258" i="25"/>
  <c r="B1258" i="25"/>
  <c r="AA1257" i="25"/>
  <c r="B1257" i="25"/>
  <c r="AA1256" i="25"/>
  <c r="B1256" i="25"/>
  <c r="AA1255" i="25"/>
  <c r="B1255" i="25"/>
  <c r="AA1254" i="25"/>
  <c r="B1254" i="25"/>
  <c r="AA1253" i="25"/>
  <c r="B1253" i="25"/>
  <c r="AA1252" i="25"/>
  <c r="B1252" i="25"/>
  <c r="AA1251" i="25"/>
  <c r="B1251" i="25"/>
  <c r="AA1250" i="25"/>
  <c r="B1250" i="25"/>
  <c r="AA1249" i="25"/>
  <c r="B1249" i="25"/>
  <c r="AA1248" i="25"/>
  <c r="B1248" i="25"/>
  <c r="AA1247" i="25"/>
  <c r="B1247" i="25"/>
  <c r="AA1246" i="25"/>
  <c r="B1246" i="25"/>
  <c r="AA1245" i="25"/>
  <c r="B1245" i="25"/>
  <c r="AA1244" i="25"/>
  <c r="B1244" i="25"/>
  <c r="AA1243" i="25"/>
  <c r="B1243" i="25"/>
  <c r="AA1242" i="25"/>
  <c r="B1242" i="25"/>
  <c r="AA1241" i="25"/>
  <c r="B1241" i="25"/>
  <c r="AA1240" i="25"/>
  <c r="B1240" i="25"/>
  <c r="AA1239" i="25"/>
  <c r="B1239" i="25"/>
  <c r="AA1238" i="25"/>
  <c r="B1238" i="25"/>
  <c r="AA1237" i="25"/>
  <c r="B1237" i="25"/>
  <c r="AA1236" i="25"/>
  <c r="B1236" i="25"/>
  <c r="AA1235" i="25"/>
  <c r="B1235" i="25"/>
  <c r="AA1234" i="25"/>
  <c r="B1234" i="25"/>
  <c r="AA1233" i="25"/>
  <c r="B1233" i="25"/>
  <c r="AA1232" i="25"/>
  <c r="B1232" i="25"/>
  <c r="AA1231" i="25"/>
  <c r="B1231" i="25"/>
  <c r="A1231" i="25"/>
  <c r="AA1230" i="25"/>
  <c r="B1230" i="25"/>
  <c r="AA1229" i="25"/>
  <c r="B1229" i="25"/>
  <c r="AA1228" i="25"/>
  <c r="B1228" i="25"/>
  <c r="AA1227" i="25"/>
  <c r="B1227" i="25"/>
  <c r="AA1226" i="25"/>
  <c r="B1226" i="25"/>
  <c r="AA1225" i="25"/>
  <c r="B1225" i="25"/>
  <c r="A1225" i="25"/>
  <c r="AA1223" i="25"/>
  <c r="B1223" i="25"/>
  <c r="A1223" i="25"/>
  <c r="AA1222" i="25"/>
  <c r="B1222" i="25"/>
  <c r="A1222" i="25"/>
  <c r="AA1221" i="25"/>
  <c r="B1221" i="25"/>
  <c r="A1221" i="25"/>
  <c r="AA1220" i="25"/>
  <c r="B1220" i="25"/>
  <c r="A1220" i="25"/>
  <c r="AA1219" i="25"/>
  <c r="B1219" i="25"/>
  <c r="A1219" i="25"/>
  <c r="AA1218" i="25"/>
  <c r="B1218" i="25"/>
  <c r="A1218" i="25"/>
  <c r="AA1217" i="25"/>
  <c r="B1217" i="25"/>
  <c r="A1217" i="25"/>
  <c r="AA1216" i="25"/>
  <c r="B1216" i="25"/>
  <c r="A1216" i="25"/>
  <c r="AA1215" i="25"/>
  <c r="B1215" i="25"/>
  <c r="A1215" i="25"/>
  <c r="AA1214" i="25"/>
  <c r="B1214" i="25"/>
  <c r="A1214" i="25"/>
  <c r="AA1213" i="25"/>
  <c r="B1213" i="25"/>
  <c r="A1213" i="25"/>
  <c r="AA1212" i="25"/>
  <c r="B1212" i="25"/>
  <c r="A1212" i="25"/>
  <c r="AA1211" i="25"/>
  <c r="B1211" i="25"/>
  <c r="A1211" i="25"/>
  <c r="AA1210" i="25"/>
  <c r="B1210" i="25"/>
  <c r="A1210" i="25"/>
  <c r="AA1209" i="25"/>
  <c r="B1209" i="25"/>
  <c r="A1209" i="25"/>
  <c r="AA1208" i="25"/>
  <c r="B1208" i="25"/>
  <c r="A1208" i="25"/>
  <c r="AA1207" i="25"/>
  <c r="B1207" i="25"/>
  <c r="A1207" i="25"/>
  <c r="Q1206" i="25"/>
  <c r="AA1205" i="25"/>
  <c r="B1205" i="25"/>
  <c r="A1205" i="25"/>
  <c r="AA1204" i="25"/>
  <c r="B1204" i="25"/>
  <c r="A1204" i="25"/>
  <c r="AA1203" i="25"/>
  <c r="B1203" i="25"/>
  <c r="A1203" i="25"/>
  <c r="AA1202" i="25"/>
  <c r="B1202" i="25"/>
  <c r="A1202" i="25"/>
  <c r="AA1201" i="25"/>
  <c r="B1201" i="25"/>
  <c r="A1201" i="25"/>
  <c r="AA1200" i="25"/>
  <c r="B1200" i="25"/>
  <c r="A1200" i="25"/>
  <c r="AA1199" i="25"/>
  <c r="B1199" i="25"/>
  <c r="A1199" i="25"/>
  <c r="AA1198" i="25"/>
  <c r="B1198" i="25"/>
  <c r="A1198" i="25"/>
  <c r="AA1197" i="25"/>
  <c r="B1197" i="25"/>
  <c r="A1197" i="25"/>
  <c r="AA1196" i="25"/>
  <c r="B1196" i="25"/>
  <c r="A1196" i="25"/>
  <c r="AA1195" i="25"/>
  <c r="B1195" i="25"/>
  <c r="A1195" i="25"/>
  <c r="AA1194" i="25"/>
  <c r="B1194" i="25"/>
  <c r="A1194" i="25"/>
  <c r="AA1193" i="25"/>
  <c r="B1193" i="25"/>
  <c r="A1193" i="25"/>
  <c r="AA1192" i="25"/>
  <c r="B1192" i="25"/>
  <c r="A1192" i="25"/>
  <c r="AA1191" i="25"/>
  <c r="B1191" i="25"/>
  <c r="A1191" i="25"/>
  <c r="AA1190" i="25"/>
  <c r="B1190" i="25"/>
  <c r="A1190" i="25"/>
  <c r="AA1189" i="25"/>
  <c r="B1189" i="25"/>
  <c r="A1189" i="25"/>
  <c r="AA1188" i="25"/>
  <c r="B1188" i="25"/>
  <c r="A1188" i="25"/>
  <c r="AA1187" i="25"/>
  <c r="B1187" i="25"/>
  <c r="A1187" i="25"/>
  <c r="AA1186" i="25"/>
  <c r="B1186" i="25"/>
  <c r="A1186" i="25"/>
  <c r="AA1185" i="25"/>
  <c r="B1185" i="25"/>
  <c r="A1185" i="25"/>
  <c r="AA1184" i="25"/>
  <c r="B1184" i="25"/>
  <c r="A1184" i="25"/>
  <c r="AA1183" i="25"/>
  <c r="B1183" i="25"/>
  <c r="A1183" i="25"/>
  <c r="AA1182" i="25"/>
  <c r="B1182" i="25"/>
  <c r="A1182" i="25"/>
  <c r="AA1181" i="25"/>
  <c r="B1181" i="25"/>
  <c r="A1181" i="25"/>
  <c r="AA1180" i="25"/>
  <c r="B1180" i="25"/>
  <c r="A1180" i="25"/>
  <c r="AA1179" i="25"/>
  <c r="B1179" i="25"/>
  <c r="A1179" i="25"/>
  <c r="AA1178" i="25"/>
  <c r="B1178" i="25"/>
  <c r="A1178" i="25"/>
  <c r="AA1177" i="25"/>
  <c r="B1177" i="25"/>
  <c r="A1177" i="25"/>
  <c r="AA1176" i="25"/>
  <c r="B1176" i="25"/>
  <c r="A1176" i="25"/>
  <c r="AA1175" i="25"/>
  <c r="B1175" i="25"/>
  <c r="A1175" i="25"/>
  <c r="AA1174" i="25"/>
  <c r="B1174" i="25"/>
  <c r="A1174" i="25"/>
  <c r="AA1173" i="25"/>
  <c r="B1173" i="25"/>
  <c r="A1173" i="25"/>
  <c r="AA1172" i="25"/>
  <c r="B1172" i="25"/>
  <c r="A1172" i="25"/>
  <c r="AA1171" i="25"/>
  <c r="B1171" i="25"/>
  <c r="A1171" i="25"/>
  <c r="AA1170" i="25"/>
  <c r="B1170" i="25"/>
  <c r="A1170" i="25"/>
  <c r="AA1169" i="25"/>
  <c r="B1169" i="25"/>
  <c r="A1169" i="25"/>
  <c r="AA1168" i="25"/>
  <c r="B1168" i="25"/>
  <c r="A1168" i="25"/>
  <c r="AA1167" i="25"/>
  <c r="B1167" i="25"/>
  <c r="A1167" i="25"/>
  <c r="AA1166" i="25"/>
  <c r="B1166" i="25"/>
  <c r="A1166" i="25"/>
  <c r="AA1165" i="25"/>
  <c r="B1165" i="25"/>
  <c r="A1165" i="25"/>
  <c r="AA1164" i="25"/>
  <c r="B1164" i="25"/>
  <c r="A1164" i="25"/>
  <c r="AA1163" i="25"/>
  <c r="B1163" i="25"/>
  <c r="A1163" i="25"/>
  <c r="AA1162" i="25"/>
  <c r="B1162" i="25"/>
  <c r="A1162" i="25"/>
  <c r="AA1161" i="25"/>
  <c r="B1161" i="25"/>
  <c r="A1161" i="25"/>
  <c r="AA1160" i="25"/>
  <c r="B1160" i="25"/>
  <c r="A1160" i="25"/>
  <c r="AA1159" i="25"/>
  <c r="B1159" i="25"/>
  <c r="A1159" i="25"/>
  <c r="V1158" i="25"/>
  <c r="A1158" i="25"/>
  <c r="AA1157" i="25"/>
  <c r="B1157" i="25"/>
  <c r="A1157" i="25"/>
  <c r="AA1156" i="25"/>
  <c r="B1156" i="25"/>
  <c r="A1156" i="25"/>
  <c r="AA1155" i="25"/>
  <c r="B1155" i="25"/>
  <c r="A1155" i="25"/>
  <c r="AA1154" i="25"/>
  <c r="B1154" i="25"/>
  <c r="A1154" i="25"/>
  <c r="AA1153" i="25"/>
  <c r="B1153" i="25"/>
  <c r="A1153" i="25"/>
  <c r="AA1152" i="25"/>
  <c r="B1152" i="25"/>
  <c r="A1152" i="25"/>
  <c r="AA1151" i="25"/>
  <c r="B1151" i="25"/>
  <c r="A1151" i="25"/>
  <c r="AA1150" i="25"/>
  <c r="B1150" i="25"/>
  <c r="A1150" i="25"/>
  <c r="AA1149" i="25"/>
  <c r="B1149" i="25"/>
  <c r="A1149" i="25"/>
  <c r="AA1148" i="25"/>
  <c r="B1148" i="25"/>
  <c r="A1148" i="25"/>
  <c r="AA1147" i="25"/>
  <c r="B1147" i="25"/>
  <c r="A1147" i="25"/>
  <c r="AA1146" i="25"/>
  <c r="B1146" i="25"/>
  <c r="A1146" i="25"/>
  <c r="AA1145" i="25"/>
  <c r="B1145" i="25"/>
  <c r="A1145" i="25"/>
  <c r="AA1144" i="25"/>
  <c r="B1144" i="25"/>
  <c r="A1144" i="25"/>
  <c r="AA1143" i="25"/>
  <c r="B1143" i="25"/>
  <c r="A1143" i="25"/>
  <c r="AA1142" i="25"/>
  <c r="B1142" i="25"/>
  <c r="A1142" i="25"/>
  <c r="AA1141" i="25"/>
  <c r="B1141" i="25"/>
  <c r="A1141" i="25"/>
  <c r="AA1140" i="25"/>
  <c r="B1140" i="25"/>
  <c r="A1140" i="25"/>
  <c r="AA1139" i="25"/>
  <c r="B1139" i="25"/>
  <c r="A1139" i="25"/>
  <c r="AA1138" i="25"/>
  <c r="B1138" i="25"/>
  <c r="A1138" i="25"/>
  <c r="AA1137" i="25"/>
  <c r="B1137" i="25"/>
  <c r="A1137" i="25"/>
  <c r="Q1136" i="25"/>
  <c r="Q1135" i="25"/>
  <c r="AA1134" i="25"/>
  <c r="B1134" i="25"/>
  <c r="A1134" i="25"/>
  <c r="AA1133" i="25"/>
  <c r="B1133" i="25"/>
  <c r="A1133" i="25"/>
  <c r="AA1132" i="25"/>
  <c r="B1132" i="25"/>
  <c r="A1132" i="25"/>
  <c r="AA1131" i="25"/>
  <c r="B1131" i="25"/>
  <c r="A1131" i="25"/>
  <c r="AA1130" i="25"/>
  <c r="B1130" i="25"/>
  <c r="A1130" i="25"/>
  <c r="AA1129" i="25"/>
  <c r="B1129" i="25"/>
  <c r="AA1128" i="25"/>
  <c r="B1128" i="25"/>
  <c r="A1128" i="25"/>
  <c r="AA1127" i="25"/>
  <c r="B1127" i="25"/>
  <c r="AA1126" i="25"/>
  <c r="B1126" i="25"/>
  <c r="AA1125" i="25"/>
  <c r="B1125" i="25"/>
  <c r="AA1124" i="25"/>
  <c r="B1124" i="25"/>
  <c r="AA1123" i="25"/>
  <c r="B1123" i="25"/>
  <c r="AA1122" i="25"/>
  <c r="B1122" i="25"/>
  <c r="V1121" i="25"/>
  <c r="A1121" i="25"/>
  <c r="V1120" i="25"/>
  <c r="A1120" i="25"/>
  <c r="V1119" i="25"/>
  <c r="A1119" i="25"/>
  <c r="A1118" i="25"/>
  <c r="V1117" i="25"/>
  <c r="A1117" i="25"/>
  <c r="A1116" i="25"/>
  <c r="B1115" i="25"/>
  <c r="A1115" i="25"/>
  <c r="V1114" i="25"/>
  <c r="A1114" i="25"/>
  <c r="V1113" i="25"/>
  <c r="A1113" i="25"/>
  <c r="AA1112" i="25"/>
  <c r="B1112" i="25"/>
  <c r="A1112" i="25"/>
  <c r="AA1111" i="25"/>
  <c r="B1111" i="25"/>
  <c r="AA1110" i="25"/>
  <c r="B1110" i="25"/>
  <c r="AA1109" i="25"/>
  <c r="B1109" i="25"/>
  <c r="A1109" i="25"/>
  <c r="V1107" i="25"/>
  <c r="A1107" i="25"/>
  <c r="AA1106" i="25"/>
  <c r="B1106" i="25"/>
  <c r="A1106" i="25"/>
  <c r="AA1105" i="25"/>
  <c r="B1105" i="25"/>
  <c r="A1105" i="25"/>
  <c r="Q1104" i="25"/>
  <c r="AA1103" i="25"/>
  <c r="B1103" i="25"/>
  <c r="A1103" i="25"/>
  <c r="AA1102" i="25"/>
  <c r="B1102" i="25"/>
  <c r="A1102" i="25"/>
  <c r="AA1101" i="25"/>
  <c r="B1101" i="25"/>
  <c r="A1101" i="25"/>
  <c r="AA1100" i="25"/>
  <c r="B1100" i="25"/>
  <c r="A1100" i="25"/>
  <c r="AA1099" i="25"/>
  <c r="B1099" i="25"/>
  <c r="A1099" i="25"/>
  <c r="AA1098" i="25"/>
  <c r="B1098" i="25"/>
  <c r="A1098" i="25"/>
  <c r="AA1097" i="25"/>
  <c r="B1097" i="25"/>
  <c r="A1097" i="25"/>
  <c r="AA1096" i="25"/>
  <c r="B1096" i="25"/>
  <c r="A1096" i="25"/>
  <c r="AA1095" i="25"/>
  <c r="B1095" i="25"/>
  <c r="A1095" i="25"/>
  <c r="AA1094" i="25"/>
  <c r="B1094" i="25"/>
  <c r="A1094" i="25"/>
  <c r="AA1093" i="25"/>
  <c r="B1093" i="25"/>
  <c r="A1093" i="25"/>
  <c r="AA1092" i="25"/>
  <c r="B1092" i="25"/>
  <c r="A1092" i="25"/>
  <c r="AA1091" i="25"/>
  <c r="B1091" i="25"/>
  <c r="A1091" i="25"/>
  <c r="AA1090" i="25"/>
  <c r="B1090" i="25"/>
  <c r="A1090" i="25"/>
  <c r="AA1089" i="25"/>
  <c r="B1089" i="25"/>
  <c r="A1089" i="25"/>
  <c r="AA1088" i="25"/>
  <c r="B1088" i="25"/>
  <c r="A1088" i="25"/>
  <c r="AA1087" i="25"/>
  <c r="B1087" i="25"/>
  <c r="A1087" i="25"/>
  <c r="AA1086" i="25"/>
  <c r="B1086" i="25"/>
  <c r="A1086" i="25"/>
  <c r="AA1085" i="25"/>
  <c r="B1085" i="25"/>
  <c r="A1085" i="25"/>
  <c r="AA1084" i="25"/>
  <c r="B1084" i="25"/>
  <c r="A1084" i="25"/>
  <c r="AA1083" i="25"/>
  <c r="B1083" i="25"/>
  <c r="A1083" i="25"/>
  <c r="AA1082" i="25"/>
  <c r="B1082" i="25"/>
  <c r="A1082" i="25"/>
  <c r="AA1081" i="25"/>
  <c r="B1081" i="25"/>
  <c r="A1081" i="25"/>
  <c r="AA1080" i="25"/>
  <c r="B1080" i="25"/>
  <c r="A1080" i="25"/>
  <c r="AA1079" i="25"/>
  <c r="B1079" i="25"/>
  <c r="A1079" i="25"/>
  <c r="AA1078" i="25"/>
  <c r="B1078" i="25"/>
  <c r="A1078" i="25"/>
  <c r="AA1077" i="25"/>
  <c r="B1077" i="25"/>
  <c r="A1077" i="25"/>
  <c r="AA1076" i="25"/>
  <c r="B1076" i="25"/>
  <c r="A1076" i="25"/>
  <c r="AA1075" i="25"/>
  <c r="B1075" i="25"/>
  <c r="A1075" i="25"/>
  <c r="AA1074" i="25"/>
  <c r="B1074" i="25"/>
  <c r="A1074" i="25"/>
  <c r="Q1073" i="25"/>
  <c r="AA1072" i="25"/>
  <c r="B1072" i="25"/>
  <c r="A1072" i="25"/>
  <c r="AA1071" i="25"/>
  <c r="B1071" i="25"/>
  <c r="A1071" i="25"/>
  <c r="AA1070" i="25"/>
  <c r="B1070" i="25"/>
  <c r="A1070" i="25"/>
  <c r="AA1069" i="25"/>
  <c r="B1069" i="25"/>
  <c r="A1069" i="25"/>
  <c r="AA1068" i="25"/>
  <c r="B1068" i="25"/>
  <c r="A1068" i="25"/>
  <c r="AA1067" i="25"/>
  <c r="B1067" i="25"/>
  <c r="A1067" i="25"/>
  <c r="AA1066" i="25"/>
  <c r="B1066" i="25"/>
  <c r="A1066" i="25"/>
  <c r="AA1065" i="25"/>
  <c r="B1065" i="25"/>
  <c r="A1065" i="25"/>
  <c r="AA1064" i="25"/>
  <c r="B1064" i="25"/>
  <c r="A1064" i="25"/>
  <c r="AA1063" i="25"/>
  <c r="B1063" i="25"/>
  <c r="A1063" i="25"/>
  <c r="AA1062" i="25"/>
  <c r="B1062" i="25"/>
  <c r="A1062" i="25"/>
  <c r="AA1061" i="25"/>
  <c r="B1061" i="25"/>
  <c r="A1061" i="25"/>
  <c r="AA1060" i="25"/>
  <c r="B1060" i="25"/>
  <c r="A1060" i="25"/>
  <c r="AA1059" i="25"/>
  <c r="B1059" i="25"/>
  <c r="A1059" i="25"/>
  <c r="AA1058" i="25"/>
  <c r="B1058" i="25"/>
  <c r="A1058" i="25"/>
  <c r="AA1057" i="25"/>
  <c r="B1057" i="25"/>
  <c r="A1057" i="25"/>
  <c r="AA1056" i="25"/>
  <c r="B1056" i="25"/>
  <c r="A1056" i="25"/>
  <c r="Q1055" i="25"/>
  <c r="AA1054" i="25"/>
  <c r="B1054" i="25"/>
  <c r="A1054" i="25"/>
  <c r="AA1053" i="25"/>
  <c r="B1053" i="25"/>
  <c r="A1053" i="25"/>
  <c r="AA1052" i="25"/>
  <c r="B1052" i="25"/>
  <c r="A1052" i="25"/>
  <c r="AA1051" i="25"/>
  <c r="B1051" i="25"/>
  <c r="A1051" i="25"/>
  <c r="AA1050" i="25"/>
  <c r="B1050" i="25"/>
  <c r="A1050" i="25"/>
  <c r="AA1049" i="25"/>
  <c r="B1049" i="25"/>
  <c r="A1049" i="25"/>
  <c r="AA1048" i="25"/>
  <c r="B1048" i="25"/>
  <c r="A1048" i="25"/>
  <c r="AA1047" i="25"/>
  <c r="B1047" i="25"/>
  <c r="A1047" i="25"/>
  <c r="AA1046" i="25"/>
  <c r="B1046" i="25"/>
  <c r="A1046" i="25"/>
  <c r="AA1045" i="25"/>
  <c r="B1045" i="25"/>
  <c r="A1045" i="25"/>
  <c r="AA1044" i="25"/>
  <c r="B1044" i="25"/>
  <c r="A1044" i="25"/>
  <c r="AA1043" i="25"/>
  <c r="B1043" i="25"/>
  <c r="A1043" i="25"/>
  <c r="AA1042" i="25"/>
  <c r="B1042" i="25"/>
  <c r="A1042" i="25"/>
  <c r="AA1041" i="25"/>
  <c r="B1041" i="25"/>
  <c r="A1041" i="25"/>
  <c r="AA1040" i="25"/>
  <c r="B1040" i="25"/>
  <c r="A1040" i="25"/>
  <c r="AA1039" i="25"/>
  <c r="B1039" i="25"/>
  <c r="A1039" i="25"/>
  <c r="AA1038" i="25"/>
  <c r="B1038" i="25"/>
  <c r="A1038" i="25"/>
  <c r="AA1037" i="25"/>
  <c r="B1037" i="25"/>
  <c r="A1037" i="25"/>
  <c r="AA1036" i="25"/>
  <c r="B1036" i="25"/>
  <c r="A1036" i="25"/>
  <c r="AA1035" i="25"/>
  <c r="B1035" i="25"/>
  <c r="A1035" i="25"/>
  <c r="AA1034" i="25"/>
  <c r="B1034" i="25"/>
  <c r="A1034" i="25"/>
  <c r="AA1033" i="25"/>
  <c r="B1033" i="25"/>
  <c r="A1033" i="25"/>
  <c r="AA1032" i="25"/>
  <c r="B1032" i="25"/>
  <c r="A1032" i="25"/>
  <c r="AA1031" i="25"/>
  <c r="B1031" i="25"/>
  <c r="A1031" i="25"/>
  <c r="AA1030" i="25"/>
  <c r="B1030" i="25"/>
  <c r="A1030" i="25"/>
  <c r="AA1029" i="25"/>
  <c r="B1029" i="25"/>
  <c r="A1029" i="25"/>
  <c r="AA1028" i="25"/>
  <c r="B1028" i="25"/>
  <c r="A1028" i="25"/>
  <c r="AA1027" i="25"/>
  <c r="B1027" i="25"/>
  <c r="A1027" i="25"/>
  <c r="AA1026" i="25"/>
  <c r="B1026" i="25"/>
  <c r="A1026" i="25"/>
  <c r="AA1025" i="25"/>
  <c r="B1025" i="25"/>
  <c r="A1025" i="25"/>
  <c r="AA1024" i="25"/>
  <c r="B1024" i="25"/>
  <c r="A1024" i="25"/>
  <c r="AA1023" i="25"/>
  <c r="B1023" i="25"/>
  <c r="A1023" i="25"/>
  <c r="AA1022" i="25"/>
  <c r="B1022" i="25"/>
  <c r="A1022" i="25"/>
  <c r="AA1021" i="25"/>
  <c r="B1021" i="25"/>
  <c r="A1021" i="25"/>
  <c r="AA1020" i="25"/>
  <c r="B1020" i="25"/>
  <c r="A1020" i="25"/>
  <c r="AA1019" i="25"/>
  <c r="B1019" i="25"/>
  <c r="A1019" i="25"/>
  <c r="AA1018" i="25"/>
  <c r="B1018" i="25"/>
  <c r="A1018" i="25"/>
  <c r="AA1017" i="25"/>
  <c r="B1017" i="25"/>
  <c r="A1017" i="25"/>
  <c r="AA1016" i="25"/>
  <c r="B1016" i="25"/>
  <c r="A1016" i="25"/>
  <c r="AA1015" i="25"/>
  <c r="B1015" i="25"/>
  <c r="A1015" i="25"/>
  <c r="AA1014" i="25"/>
  <c r="B1014" i="25"/>
  <c r="A1014" i="25"/>
  <c r="AA1013" i="25"/>
  <c r="B1013" i="25"/>
  <c r="A1013" i="25"/>
  <c r="AA1012" i="25"/>
  <c r="B1012" i="25"/>
  <c r="A1012" i="25"/>
  <c r="AA1011" i="25"/>
  <c r="B1011" i="25"/>
  <c r="A1011" i="25"/>
  <c r="AA1010" i="25"/>
  <c r="B1010" i="25"/>
  <c r="A1010" i="25"/>
  <c r="AA1009" i="25"/>
  <c r="B1009" i="25"/>
  <c r="A1009" i="25"/>
  <c r="AA1008" i="25"/>
  <c r="B1008" i="25"/>
  <c r="A1008" i="25"/>
  <c r="AA1007" i="25"/>
  <c r="B1007" i="25"/>
  <c r="A1007" i="25"/>
  <c r="AA1006" i="25"/>
  <c r="B1006" i="25"/>
  <c r="A1006" i="25"/>
  <c r="AA1005" i="25"/>
  <c r="B1005" i="25"/>
  <c r="A1005" i="25"/>
  <c r="AA1004" i="25"/>
  <c r="B1004" i="25"/>
  <c r="A1004" i="25"/>
  <c r="AA1003" i="25"/>
  <c r="B1003" i="25"/>
  <c r="A1003" i="25"/>
  <c r="AA1002" i="25"/>
  <c r="B1002" i="25"/>
  <c r="A1002" i="25"/>
  <c r="AA1001" i="25"/>
  <c r="B1001" i="25"/>
  <c r="A1001" i="25"/>
  <c r="AA1000" i="25"/>
  <c r="B1000" i="25"/>
  <c r="A1000" i="25"/>
  <c r="AA999" i="25"/>
  <c r="B999" i="25"/>
  <c r="A999" i="25"/>
  <c r="AA998" i="25"/>
  <c r="B998" i="25"/>
  <c r="A998" i="25"/>
  <c r="V997" i="25"/>
  <c r="A997" i="25"/>
  <c r="V996" i="25"/>
  <c r="A996" i="25"/>
  <c r="AA995" i="25"/>
  <c r="B995" i="25"/>
  <c r="A995" i="25"/>
  <c r="AA994" i="25"/>
  <c r="B994" i="25"/>
  <c r="A994" i="25"/>
  <c r="Q992" i="25"/>
  <c r="AA991" i="25"/>
  <c r="B991" i="25"/>
  <c r="Q990" i="25"/>
  <c r="AA989" i="25"/>
  <c r="B989" i="25"/>
  <c r="A989" i="25"/>
  <c r="AA988" i="25"/>
  <c r="B988" i="25"/>
  <c r="A988" i="25"/>
  <c r="V987" i="25"/>
  <c r="A987" i="25"/>
  <c r="AA986" i="25"/>
  <c r="B986" i="25"/>
  <c r="A986" i="25"/>
  <c r="V985" i="25"/>
  <c r="A985" i="25"/>
  <c r="AA984" i="25"/>
  <c r="B984" i="25"/>
  <c r="A984" i="25"/>
  <c r="AA983" i="25"/>
  <c r="B983" i="25"/>
  <c r="A983" i="25"/>
  <c r="AA982" i="25"/>
  <c r="B982" i="25"/>
  <c r="A982" i="25"/>
  <c r="AA981" i="25"/>
  <c r="B981" i="25"/>
  <c r="A981" i="25"/>
  <c r="AA980" i="25"/>
  <c r="B980" i="25"/>
  <c r="A980" i="25"/>
  <c r="AA979" i="25"/>
  <c r="B979" i="25"/>
  <c r="A979" i="25"/>
  <c r="AA978" i="25"/>
  <c r="B978" i="25"/>
  <c r="A978" i="25"/>
  <c r="AA977" i="25"/>
  <c r="B977" i="25"/>
  <c r="A977" i="25"/>
  <c r="AA976" i="25"/>
  <c r="B976" i="25"/>
  <c r="A976" i="25"/>
  <c r="AA975" i="25"/>
  <c r="B975" i="25"/>
  <c r="A975" i="25"/>
  <c r="AA974" i="25"/>
  <c r="B974" i="25"/>
  <c r="A974" i="25"/>
  <c r="AA973" i="25"/>
  <c r="B973" i="25"/>
  <c r="A973" i="25"/>
  <c r="AA972" i="25"/>
  <c r="B972" i="25"/>
  <c r="A972" i="25"/>
  <c r="AA971" i="25"/>
  <c r="B971" i="25"/>
  <c r="A971" i="25"/>
  <c r="AA970" i="25"/>
  <c r="B970" i="25"/>
  <c r="A970" i="25"/>
  <c r="AA969" i="25"/>
  <c r="B969" i="25"/>
  <c r="A969" i="25"/>
  <c r="AA968" i="25"/>
  <c r="B968" i="25"/>
  <c r="A968" i="25"/>
  <c r="AA967" i="25"/>
  <c r="B967" i="25"/>
  <c r="A967" i="25"/>
  <c r="AA966" i="25"/>
  <c r="B966" i="25"/>
  <c r="A966" i="25"/>
  <c r="AA965" i="25"/>
  <c r="B965" i="25"/>
  <c r="A965" i="25"/>
  <c r="AA964" i="25"/>
  <c r="B964" i="25"/>
  <c r="A964" i="25"/>
  <c r="AA963" i="25"/>
  <c r="B963" i="25"/>
  <c r="A963" i="25"/>
  <c r="AA962" i="25"/>
  <c r="B962" i="25"/>
  <c r="A962" i="25"/>
  <c r="AA961" i="25"/>
  <c r="B961" i="25"/>
  <c r="A961" i="25"/>
  <c r="AA960" i="25"/>
  <c r="B960" i="25"/>
  <c r="A960" i="25"/>
  <c r="AA959" i="25"/>
  <c r="B959" i="25"/>
  <c r="A959" i="25"/>
  <c r="AA958" i="25"/>
  <c r="B958" i="25"/>
  <c r="A958" i="25"/>
  <c r="AA957" i="25"/>
  <c r="B957" i="25"/>
  <c r="A957" i="25"/>
  <c r="AA956" i="25"/>
  <c r="B956" i="25"/>
  <c r="A956" i="25"/>
  <c r="AA955" i="25"/>
  <c r="B955" i="25"/>
  <c r="A955" i="25"/>
  <c r="AA954" i="25"/>
  <c r="B954" i="25"/>
  <c r="A954" i="25"/>
  <c r="AA953" i="25"/>
  <c r="B953" i="25"/>
  <c r="A953" i="25"/>
  <c r="AA952" i="25"/>
  <c r="B952" i="25"/>
  <c r="A952" i="25"/>
  <c r="AA951" i="25"/>
  <c r="B951" i="25"/>
  <c r="A951" i="25"/>
  <c r="AA950" i="25"/>
  <c r="B950" i="25"/>
  <c r="A950" i="25"/>
  <c r="AA949" i="25"/>
  <c r="B949" i="25"/>
  <c r="A949" i="25"/>
  <c r="AA948" i="25"/>
  <c r="B948" i="25"/>
  <c r="A948" i="25"/>
  <c r="AA947" i="25"/>
  <c r="B947" i="25"/>
  <c r="A947" i="25"/>
  <c r="AA946" i="25"/>
  <c r="B946" i="25"/>
  <c r="A946" i="25"/>
  <c r="AA945" i="25"/>
  <c r="B945" i="25"/>
  <c r="A945" i="25"/>
  <c r="AA944" i="25"/>
  <c r="B944" i="25"/>
  <c r="A944" i="25"/>
  <c r="AA943" i="25"/>
  <c r="B943" i="25"/>
  <c r="A943" i="25"/>
  <c r="AA942" i="25"/>
  <c r="B942" i="25"/>
  <c r="A942" i="25"/>
  <c r="AA941" i="25"/>
  <c r="B941" i="25"/>
  <c r="A941" i="25"/>
  <c r="AA940" i="25"/>
  <c r="B940" i="25"/>
  <c r="A940" i="25"/>
  <c r="AA939" i="25"/>
  <c r="B939" i="25"/>
  <c r="A939" i="25"/>
  <c r="AA938" i="25"/>
  <c r="B938" i="25"/>
  <c r="A938" i="25"/>
  <c r="AA937" i="25"/>
  <c r="B937" i="25"/>
  <c r="A937" i="25"/>
  <c r="AA936" i="25"/>
  <c r="B936" i="25"/>
  <c r="A936" i="25"/>
  <c r="AA935" i="25"/>
  <c r="B935" i="25"/>
  <c r="A935" i="25"/>
  <c r="AA934" i="25"/>
  <c r="B934" i="25"/>
  <c r="A934" i="25"/>
  <c r="AA933" i="25"/>
  <c r="B933" i="25"/>
  <c r="A933" i="25"/>
  <c r="AA932" i="25"/>
  <c r="B932" i="25"/>
  <c r="A932" i="25"/>
  <c r="AA931" i="25"/>
  <c r="B931" i="25"/>
  <c r="A931" i="25"/>
  <c r="AA930" i="25"/>
  <c r="B930" i="25"/>
  <c r="A930" i="25"/>
  <c r="AA929" i="25"/>
  <c r="B929" i="25"/>
  <c r="A929" i="25"/>
  <c r="AA928" i="25"/>
  <c r="B928" i="25"/>
  <c r="A928" i="25"/>
  <c r="AA927" i="25"/>
  <c r="B927" i="25"/>
  <c r="A927" i="25"/>
  <c r="AA926" i="25"/>
  <c r="B926" i="25"/>
  <c r="A926" i="25"/>
  <c r="V925" i="25"/>
  <c r="A925" i="25"/>
  <c r="AA924" i="25"/>
  <c r="B924" i="25"/>
  <c r="A924" i="25"/>
  <c r="AA923" i="25"/>
  <c r="B923" i="25"/>
  <c r="A923" i="25"/>
  <c r="AA922" i="25"/>
  <c r="B922" i="25"/>
  <c r="A922" i="25"/>
  <c r="AA921" i="25"/>
  <c r="B921" i="25"/>
  <c r="A921" i="25"/>
  <c r="AA920" i="25"/>
  <c r="B920" i="25"/>
  <c r="A920" i="25"/>
  <c r="AA919" i="25"/>
  <c r="B919" i="25"/>
  <c r="A919" i="25"/>
  <c r="AA918" i="25"/>
  <c r="B918" i="25"/>
  <c r="A918" i="25"/>
  <c r="AA917" i="25"/>
  <c r="B917" i="25"/>
  <c r="A917" i="25"/>
  <c r="AA916" i="25"/>
  <c r="B916" i="25"/>
  <c r="A916" i="25"/>
  <c r="AA915" i="25"/>
  <c r="B915" i="25"/>
  <c r="A915" i="25"/>
  <c r="AA914" i="25"/>
  <c r="B914" i="25"/>
  <c r="A914" i="25"/>
  <c r="AA913" i="25"/>
  <c r="B913" i="25"/>
  <c r="A913" i="25"/>
  <c r="AA912" i="25"/>
  <c r="B912" i="25"/>
  <c r="A912" i="25"/>
  <c r="AA911" i="25"/>
  <c r="B911" i="25"/>
  <c r="A911" i="25"/>
  <c r="AA910" i="25"/>
  <c r="B910" i="25"/>
  <c r="A910" i="25"/>
  <c r="V909" i="25"/>
  <c r="A909" i="25"/>
  <c r="AA908" i="25"/>
  <c r="B908" i="25"/>
  <c r="A908" i="25"/>
  <c r="AA907" i="25"/>
  <c r="B907" i="25"/>
  <c r="A907" i="25"/>
  <c r="AA906" i="25"/>
  <c r="B906" i="25"/>
  <c r="A906" i="25"/>
  <c r="AA905" i="25"/>
  <c r="B905" i="25"/>
  <c r="A905" i="25"/>
  <c r="AA904" i="25"/>
  <c r="B904" i="25"/>
  <c r="A904" i="25"/>
  <c r="AA903" i="25"/>
  <c r="B903" i="25"/>
  <c r="A903" i="25"/>
  <c r="AA902" i="25"/>
  <c r="B902" i="25"/>
  <c r="A902" i="25"/>
  <c r="AA901" i="25"/>
  <c r="B901" i="25"/>
  <c r="A901" i="25"/>
  <c r="AA900" i="25"/>
  <c r="B900" i="25"/>
  <c r="A900" i="25"/>
  <c r="AA899" i="25"/>
  <c r="B899" i="25"/>
  <c r="A899" i="25"/>
  <c r="AA898" i="25"/>
  <c r="B898" i="25"/>
  <c r="A898" i="25"/>
  <c r="AA897" i="25"/>
  <c r="B897" i="25"/>
  <c r="A897" i="25"/>
  <c r="AA896" i="25"/>
  <c r="B896" i="25"/>
  <c r="A896" i="25"/>
  <c r="AA895" i="25"/>
  <c r="B895" i="25"/>
  <c r="A895" i="25"/>
  <c r="AA894" i="25"/>
  <c r="B894" i="25"/>
  <c r="A894" i="25"/>
  <c r="AA893" i="25"/>
  <c r="B893" i="25"/>
  <c r="A893" i="25"/>
  <c r="AA892" i="25"/>
  <c r="B892" i="25"/>
  <c r="A892" i="25"/>
  <c r="AA891" i="25"/>
  <c r="B891" i="25"/>
  <c r="A891" i="25"/>
  <c r="AA890" i="25"/>
  <c r="B890" i="25"/>
  <c r="A890" i="25"/>
  <c r="AA889" i="25"/>
  <c r="B889" i="25"/>
  <c r="A889" i="25"/>
  <c r="AA888" i="25"/>
  <c r="B888" i="25"/>
  <c r="A888" i="25"/>
  <c r="AA887" i="25"/>
  <c r="B887" i="25"/>
  <c r="A887" i="25"/>
  <c r="V886" i="25"/>
  <c r="A886" i="25"/>
  <c r="AA885" i="25"/>
  <c r="B885" i="25"/>
  <c r="A885" i="25"/>
  <c r="AA884" i="25"/>
  <c r="B884" i="25"/>
  <c r="A884" i="25"/>
  <c r="AA883" i="25"/>
  <c r="B883" i="25"/>
  <c r="A883" i="25"/>
  <c r="AA882" i="25"/>
  <c r="B882" i="25"/>
  <c r="A882" i="25"/>
  <c r="AA881" i="25"/>
  <c r="B881" i="25"/>
  <c r="A881" i="25"/>
  <c r="AA880" i="25"/>
  <c r="B880" i="25"/>
  <c r="A880" i="25"/>
  <c r="AA879" i="25"/>
  <c r="B879" i="25"/>
  <c r="A879" i="25"/>
  <c r="AA878" i="25"/>
  <c r="B878" i="25"/>
  <c r="A878" i="25"/>
  <c r="AA877" i="25"/>
  <c r="B877" i="25"/>
  <c r="A877" i="25"/>
  <c r="AA876" i="25"/>
  <c r="B876" i="25"/>
  <c r="A876" i="25"/>
  <c r="AA875" i="25"/>
  <c r="B875" i="25"/>
  <c r="A875" i="25"/>
  <c r="AA874" i="25"/>
  <c r="B874" i="25"/>
  <c r="A874" i="25"/>
  <c r="AA873" i="25"/>
  <c r="B873" i="25"/>
  <c r="A873" i="25"/>
  <c r="AA872" i="25"/>
  <c r="B872" i="25"/>
  <c r="A872" i="25"/>
  <c r="AA871" i="25"/>
  <c r="B871" i="25"/>
  <c r="A871" i="25"/>
  <c r="AA870" i="25"/>
  <c r="B870" i="25"/>
  <c r="A870" i="25"/>
  <c r="AA869" i="25"/>
  <c r="B869" i="25"/>
  <c r="A869" i="25"/>
  <c r="AA868" i="25"/>
  <c r="B868" i="25"/>
  <c r="A868" i="25"/>
  <c r="AA867" i="25"/>
  <c r="B867" i="25"/>
  <c r="A867" i="25"/>
  <c r="AA866" i="25"/>
  <c r="B866" i="25"/>
  <c r="A866" i="25"/>
  <c r="AA865" i="25"/>
  <c r="B865" i="25"/>
  <c r="A865" i="25"/>
  <c r="AA864" i="25"/>
  <c r="B864" i="25"/>
  <c r="A864" i="25"/>
  <c r="V863" i="25"/>
  <c r="A863" i="25"/>
  <c r="AA862" i="25"/>
  <c r="B862" i="25"/>
  <c r="A862" i="25"/>
  <c r="AA861" i="25"/>
  <c r="B861" i="25"/>
  <c r="A861" i="25"/>
  <c r="AA860" i="25"/>
  <c r="B860" i="25"/>
  <c r="A860" i="25"/>
  <c r="AA859" i="25"/>
  <c r="B859" i="25"/>
  <c r="A859" i="25"/>
  <c r="AA858" i="25"/>
  <c r="B858" i="25"/>
  <c r="A858" i="25"/>
  <c r="AA857" i="25"/>
  <c r="B857" i="25"/>
  <c r="A857" i="25"/>
  <c r="AA856" i="25"/>
  <c r="B856" i="25"/>
  <c r="A856" i="25"/>
  <c r="AA855" i="25"/>
  <c r="B855" i="25"/>
  <c r="A855" i="25"/>
  <c r="AA854" i="25"/>
  <c r="B854" i="25"/>
  <c r="A854" i="25"/>
  <c r="AA853" i="25"/>
  <c r="B853" i="25"/>
  <c r="A853" i="25"/>
  <c r="AA852" i="25"/>
  <c r="B852" i="25"/>
  <c r="A852" i="25"/>
  <c r="AA851" i="25"/>
  <c r="B851" i="25"/>
  <c r="A851" i="25"/>
  <c r="AA850" i="25"/>
  <c r="B850" i="25"/>
  <c r="A850" i="25"/>
  <c r="AA849" i="25"/>
  <c r="B849" i="25"/>
  <c r="A849" i="25"/>
  <c r="AA848" i="25"/>
  <c r="B848" i="25"/>
  <c r="A848" i="25"/>
  <c r="AA847" i="25"/>
  <c r="B847" i="25"/>
  <c r="A847" i="25"/>
  <c r="AA846" i="25"/>
  <c r="B846" i="25"/>
  <c r="A846" i="25"/>
  <c r="AA845" i="25"/>
  <c r="B845" i="25"/>
  <c r="A845" i="25"/>
  <c r="AA844" i="25"/>
  <c r="B844" i="25"/>
  <c r="A844" i="25"/>
  <c r="AA843" i="25"/>
  <c r="B843" i="25"/>
  <c r="A843" i="25"/>
  <c r="AA842" i="25"/>
  <c r="B842" i="25"/>
  <c r="A842" i="25"/>
  <c r="AA841" i="25"/>
  <c r="B841" i="25"/>
  <c r="A841" i="25"/>
  <c r="AA840" i="25"/>
  <c r="B840" i="25"/>
  <c r="A840" i="25"/>
  <c r="AA839" i="25"/>
  <c r="B839" i="25"/>
  <c r="A839" i="25"/>
  <c r="V838" i="25"/>
  <c r="A838" i="25"/>
  <c r="V837" i="25"/>
  <c r="A837" i="25"/>
  <c r="V836" i="25"/>
  <c r="A836" i="25"/>
  <c r="V835" i="25"/>
  <c r="A835" i="25"/>
  <c r="V834" i="25"/>
  <c r="A834" i="25"/>
  <c r="V833" i="25"/>
  <c r="A833" i="25"/>
  <c r="AA832" i="25"/>
  <c r="B832" i="25"/>
  <c r="A832" i="25"/>
  <c r="AA831" i="25"/>
  <c r="B831" i="25"/>
  <c r="A831" i="25"/>
  <c r="AA830" i="25"/>
  <c r="B830" i="25"/>
  <c r="A830" i="25"/>
  <c r="AA829" i="25"/>
  <c r="B829" i="25"/>
  <c r="A829" i="25"/>
  <c r="AA828" i="25"/>
  <c r="B828" i="25"/>
  <c r="A828" i="25"/>
  <c r="AA827" i="25"/>
  <c r="B827" i="25"/>
  <c r="A827" i="25"/>
  <c r="AA826" i="25"/>
  <c r="B826" i="25"/>
  <c r="A826" i="25"/>
  <c r="Q825" i="25"/>
  <c r="AA824" i="25"/>
  <c r="B824" i="25"/>
  <c r="A824" i="25"/>
  <c r="AA823" i="25"/>
  <c r="B823" i="25"/>
  <c r="A823" i="25"/>
  <c r="AA822" i="25"/>
  <c r="B822" i="25"/>
  <c r="A822" i="25"/>
  <c r="AA821" i="25"/>
  <c r="B821" i="25"/>
  <c r="A821" i="25"/>
  <c r="AA820" i="25"/>
  <c r="B820" i="25"/>
  <c r="A820" i="25"/>
  <c r="AA819" i="25"/>
  <c r="B819" i="25"/>
  <c r="A819" i="25"/>
  <c r="AA818" i="25"/>
  <c r="B818" i="25"/>
  <c r="A818" i="25"/>
  <c r="AA817" i="25"/>
  <c r="B817" i="25"/>
  <c r="A817" i="25"/>
  <c r="AA816" i="25"/>
  <c r="B816" i="25"/>
  <c r="A816" i="25"/>
  <c r="AA815" i="25"/>
  <c r="B815" i="25"/>
  <c r="A815" i="25"/>
  <c r="AA814" i="25"/>
  <c r="B814" i="25"/>
  <c r="A814" i="25"/>
  <c r="Q813" i="25"/>
  <c r="Q812" i="25"/>
  <c r="AA811" i="25"/>
  <c r="B811" i="25"/>
  <c r="A811" i="25"/>
  <c r="V810" i="25"/>
  <c r="A810" i="25"/>
  <c r="AA809" i="25"/>
  <c r="B809" i="25"/>
  <c r="A809" i="25"/>
  <c r="AA808" i="25"/>
  <c r="B808" i="25"/>
  <c r="A808" i="25"/>
  <c r="AA807" i="25"/>
  <c r="B807" i="25"/>
  <c r="A807" i="25"/>
  <c r="AA806" i="25"/>
  <c r="B806" i="25"/>
  <c r="A806" i="25"/>
  <c r="AA805" i="25"/>
  <c r="B805" i="25"/>
  <c r="A805" i="25"/>
  <c r="AA804" i="25"/>
  <c r="B804" i="25"/>
  <c r="A804" i="25"/>
  <c r="AA803" i="25"/>
  <c r="B803" i="25"/>
  <c r="A803" i="25"/>
  <c r="AA802" i="25"/>
  <c r="B802" i="25"/>
  <c r="A802" i="25"/>
  <c r="AA801" i="25"/>
  <c r="B801" i="25"/>
  <c r="A801" i="25"/>
  <c r="AA800" i="25"/>
  <c r="B800" i="25"/>
  <c r="A800" i="25"/>
  <c r="AA799" i="25"/>
  <c r="B799" i="25"/>
  <c r="A799" i="25"/>
  <c r="AA798" i="25"/>
  <c r="B798" i="25"/>
  <c r="A798" i="25"/>
  <c r="AA797" i="25"/>
  <c r="B797" i="25"/>
  <c r="A797" i="25"/>
  <c r="AA796" i="25"/>
  <c r="B796" i="25"/>
  <c r="A796" i="25"/>
  <c r="AA795" i="25"/>
  <c r="B795" i="25"/>
  <c r="A795" i="25"/>
  <c r="AA794" i="25"/>
  <c r="B794" i="25"/>
  <c r="A794" i="25"/>
  <c r="AA793" i="25"/>
  <c r="B793" i="25"/>
  <c r="A793" i="25"/>
  <c r="AA792" i="25"/>
  <c r="B792" i="25"/>
  <c r="A792" i="25"/>
  <c r="AA791" i="25"/>
  <c r="B791" i="25"/>
  <c r="A791" i="25"/>
  <c r="V790" i="25"/>
  <c r="A790" i="25"/>
  <c r="AA789" i="25"/>
  <c r="B789" i="25"/>
  <c r="A789" i="25"/>
  <c r="AA788" i="25"/>
  <c r="B788" i="25"/>
  <c r="A788" i="25"/>
  <c r="AA787" i="25"/>
  <c r="B787" i="25"/>
  <c r="A787" i="25"/>
  <c r="AA786" i="25"/>
  <c r="B786" i="25"/>
  <c r="A786" i="25"/>
  <c r="AA785" i="25"/>
  <c r="B785" i="25"/>
  <c r="A785" i="25"/>
  <c r="AA784" i="25"/>
  <c r="B784" i="25"/>
  <c r="A784" i="25"/>
  <c r="AA783" i="25"/>
  <c r="B783" i="25"/>
  <c r="A783" i="25"/>
  <c r="AA782" i="25"/>
  <c r="B782" i="25"/>
  <c r="A782" i="25"/>
  <c r="AA781" i="25"/>
  <c r="B781" i="25"/>
  <c r="A781" i="25"/>
  <c r="AA780" i="25"/>
  <c r="B780" i="25"/>
  <c r="A780" i="25"/>
  <c r="AA779" i="25"/>
  <c r="B779" i="25"/>
  <c r="A779" i="25"/>
  <c r="AA778" i="25"/>
  <c r="B778" i="25"/>
  <c r="A778" i="25"/>
  <c r="AA777" i="25"/>
  <c r="B777" i="25"/>
  <c r="A777" i="25"/>
  <c r="AA776" i="25"/>
  <c r="B776" i="25"/>
  <c r="A776" i="25"/>
  <c r="AA775" i="25"/>
  <c r="B775" i="25"/>
  <c r="A775" i="25"/>
  <c r="AA774" i="25"/>
  <c r="B774" i="25"/>
  <c r="A774" i="25"/>
  <c r="AA773" i="25"/>
  <c r="B773" i="25"/>
  <c r="A773" i="25"/>
  <c r="AA772" i="25"/>
  <c r="B772" i="25"/>
  <c r="A772" i="25"/>
  <c r="AA771" i="25"/>
  <c r="B771" i="25"/>
  <c r="A771" i="25"/>
  <c r="AA770" i="25"/>
  <c r="B770" i="25"/>
  <c r="A770" i="25"/>
  <c r="AA769" i="25"/>
  <c r="B769" i="25"/>
  <c r="A769" i="25"/>
  <c r="AA768" i="25"/>
  <c r="B768" i="25"/>
  <c r="A768" i="25"/>
  <c r="AA767" i="25"/>
  <c r="B767" i="25"/>
  <c r="A767" i="25"/>
  <c r="AA766" i="25"/>
  <c r="B766" i="25"/>
  <c r="A766" i="25"/>
  <c r="AA765" i="25"/>
  <c r="B765" i="25"/>
  <c r="A765" i="25"/>
  <c r="AA764" i="25"/>
  <c r="B764" i="25"/>
  <c r="A764" i="25"/>
  <c r="AA763" i="25"/>
  <c r="B763" i="25"/>
  <c r="A763" i="25"/>
  <c r="AA762" i="25"/>
  <c r="B762" i="25"/>
  <c r="A762" i="25"/>
  <c r="AA761" i="25"/>
  <c r="B761" i="25"/>
  <c r="A761" i="25"/>
  <c r="AA760" i="25"/>
  <c r="B760" i="25"/>
  <c r="A760" i="25"/>
  <c r="AA759" i="25"/>
  <c r="B759" i="25"/>
  <c r="A759" i="25"/>
  <c r="AA758" i="25"/>
  <c r="B758" i="25"/>
  <c r="A758" i="25"/>
  <c r="AA757" i="25"/>
  <c r="B757" i="25"/>
  <c r="A757" i="25"/>
  <c r="AA756" i="25"/>
  <c r="B756" i="25"/>
  <c r="A756" i="25"/>
  <c r="AA755" i="25"/>
  <c r="B755" i="25"/>
  <c r="A755" i="25"/>
  <c r="AA754" i="25"/>
  <c r="B754" i="25"/>
  <c r="A754" i="25"/>
  <c r="AA753" i="25"/>
  <c r="B753" i="25"/>
  <c r="A753" i="25"/>
  <c r="AA752" i="25"/>
  <c r="B752" i="25"/>
  <c r="A752" i="25"/>
  <c r="AA751" i="25"/>
  <c r="B751" i="25"/>
  <c r="A751" i="25"/>
  <c r="AA750" i="25"/>
  <c r="B750" i="25"/>
  <c r="A750" i="25"/>
  <c r="AA749" i="25"/>
  <c r="B749" i="25"/>
  <c r="A749" i="25"/>
  <c r="AA748" i="25"/>
  <c r="B748" i="25"/>
  <c r="A748" i="25"/>
  <c r="AA747" i="25"/>
  <c r="B747" i="25"/>
  <c r="A747" i="25"/>
  <c r="AA746" i="25"/>
  <c r="B746" i="25"/>
  <c r="A746" i="25"/>
  <c r="AA745" i="25"/>
  <c r="B745" i="25"/>
  <c r="A745" i="25"/>
  <c r="AA744" i="25"/>
  <c r="B744" i="25"/>
  <c r="A744" i="25"/>
  <c r="AA743" i="25"/>
  <c r="B743" i="25"/>
  <c r="A743" i="25"/>
  <c r="AA742" i="25"/>
  <c r="B742" i="25"/>
  <c r="A742" i="25"/>
  <c r="AA741" i="25"/>
  <c r="B741" i="25"/>
  <c r="A741" i="25"/>
  <c r="Q740" i="25"/>
  <c r="AA739" i="25"/>
  <c r="B739" i="25"/>
  <c r="A739" i="25"/>
  <c r="AA738" i="25"/>
  <c r="B738" i="25"/>
  <c r="A738" i="25"/>
  <c r="AA737" i="25"/>
  <c r="B737" i="25"/>
  <c r="A737" i="25"/>
  <c r="AA736" i="25"/>
  <c r="B736" i="25"/>
  <c r="A736" i="25"/>
  <c r="AA735" i="25"/>
  <c r="B735" i="25"/>
  <c r="A735" i="25"/>
  <c r="AA734" i="25"/>
  <c r="B734" i="25"/>
  <c r="A734" i="25"/>
  <c r="AA733" i="25"/>
  <c r="B733" i="25"/>
  <c r="A733" i="25"/>
  <c r="AA732" i="25"/>
  <c r="B732" i="25"/>
  <c r="A732" i="25"/>
  <c r="AA731" i="25"/>
  <c r="B731" i="25"/>
  <c r="A731" i="25"/>
  <c r="AA730" i="25"/>
  <c r="B730" i="25"/>
  <c r="A730" i="25"/>
  <c r="AA729" i="25"/>
  <c r="B729" i="25"/>
  <c r="A729" i="25"/>
  <c r="AA728" i="25"/>
  <c r="B728" i="25"/>
  <c r="A728" i="25"/>
  <c r="AA727" i="25"/>
  <c r="B727" i="25"/>
  <c r="A727" i="25"/>
  <c r="V726" i="25"/>
  <c r="A726" i="25"/>
  <c r="AA725" i="25"/>
  <c r="B725" i="25"/>
  <c r="A725" i="25"/>
  <c r="AA724" i="25"/>
  <c r="B724" i="25"/>
  <c r="A724" i="25"/>
  <c r="AA723" i="25"/>
  <c r="B723" i="25"/>
  <c r="A723" i="25"/>
  <c r="AA722" i="25"/>
  <c r="B722" i="25"/>
  <c r="A722" i="25"/>
  <c r="AA721" i="25"/>
  <c r="B721" i="25"/>
  <c r="A721" i="25"/>
  <c r="AA720" i="25"/>
  <c r="B720" i="25"/>
  <c r="A720" i="25"/>
  <c r="AA719" i="25"/>
  <c r="B719" i="25"/>
  <c r="A719" i="25"/>
  <c r="AA718" i="25"/>
  <c r="B718" i="25"/>
  <c r="A718" i="25"/>
  <c r="AA717" i="25"/>
  <c r="B717" i="25"/>
  <c r="A717" i="25"/>
  <c r="AA716" i="25"/>
  <c r="B716" i="25"/>
  <c r="A716" i="25"/>
  <c r="AA715" i="25"/>
  <c r="B715" i="25"/>
  <c r="A715" i="25"/>
  <c r="AA714" i="25"/>
  <c r="B714" i="25"/>
  <c r="A714" i="25"/>
  <c r="AA713" i="25"/>
  <c r="B713" i="25"/>
  <c r="A713" i="25"/>
  <c r="AA712" i="25"/>
  <c r="B712" i="25"/>
  <c r="A712" i="25"/>
  <c r="AA711" i="25"/>
  <c r="B711" i="25"/>
  <c r="A711" i="25"/>
  <c r="AA710" i="25"/>
  <c r="B710" i="25"/>
  <c r="A710" i="25"/>
  <c r="AA709" i="25"/>
  <c r="B709" i="25"/>
  <c r="A709" i="25"/>
  <c r="AA708" i="25"/>
  <c r="B708" i="25"/>
  <c r="A708" i="25"/>
  <c r="AA707" i="25"/>
  <c r="B707" i="25"/>
  <c r="A707" i="25"/>
  <c r="AA706" i="25"/>
  <c r="B706" i="25"/>
  <c r="A706" i="25"/>
  <c r="AA705" i="25"/>
  <c r="B705" i="25"/>
  <c r="A705" i="25"/>
  <c r="AA704" i="25"/>
  <c r="B704" i="25"/>
  <c r="A704" i="25"/>
  <c r="AA703" i="25"/>
  <c r="B703" i="25"/>
  <c r="A703" i="25"/>
  <c r="AA702" i="25"/>
  <c r="B702" i="25"/>
  <c r="A702" i="25"/>
  <c r="AA701" i="25"/>
  <c r="B701" i="25"/>
  <c r="A701" i="25"/>
  <c r="AA700" i="25"/>
  <c r="B700" i="25"/>
  <c r="A700" i="25"/>
  <c r="AA699" i="25"/>
  <c r="B699" i="25"/>
  <c r="A699" i="25"/>
  <c r="AA698" i="25"/>
  <c r="B698" i="25"/>
  <c r="A698" i="25"/>
  <c r="AA697" i="25"/>
  <c r="B697" i="25"/>
  <c r="A697" i="25"/>
  <c r="AA696" i="25"/>
  <c r="B696" i="25"/>
  <c r="AA695" i="25"/>
  <c r="B695" i="25"/>
  <c r="AA694" i="25"/>
  <c r="B694" i="25"/>
  <c r="AA693" i="25"/>
  <c r="B693" i="25"/>
  <c r="AA692" i="25"/>
  <c r="B692" i="25"/>
  <c r="AA691" i="25"/>
  <c r="B691" i="25"/>
  <c r="AA690" i="25"/>
  <c r="B690" i="25"/>
  <c r="AA689" i="25"/>
  <c r="B689" i="25"/>
  <c r="AA688" i="25"/>
  <c r="B688" i="25"/>
  <c r="AA687" i="25"/>
  <c r="B687" i="25"/>
  <c r="AA686" i="25"/>
  <c r="B686" i="25"/>
  <c r="AA685" i="25"/>
  <c r="B685" i="25"/>
  <c r="AA684" i="25"/>
  <c r="B684" i="25"/>
  <c r="V683" i="25"/>
  <c r="A683" i="25"/>
  <c r="AA682" i="25"/>
  <c r="B682" i="25"/>
  <c r="A682" i="25"/>
  <c r="AA681" i="25"/>
  <c r="B681" i="25"/>
  <c r="A681" i="25"/>
  <c r="AA680" i="25"/>
  <c r="B680" i="25"/>
  <c r="A680" i="25"/>
  <c r="AA679" i="25"/>
  <c r="B679" i="25"/>
  <c r="A679" i="25"/>
  <c r="AA678" i="25"/>
  <c r="B678" i="25"/>
  <c r="A678" i="25"/>
  <c r="AA677" i="25"/>
  <c r="B677" i="25"/>
  <c r="A677" i="25"/>
  <c r="AA676" i="25"/>
  <c r="B676" i="25"/>
  <c r="A676" i="25"/>
  <c r="AA675" i="25"/>
  <c r="B675" i="25"/>
  <c r="A675" i="25"/>
  <c r="AA674" i="25"/>
  <c r="B674" i="25"/>
  <c r="A674" i="25"/>
  <c r="AA673" i="25"/>
  <c r="B673" i="25"/>
  <c r="A673" i="25"/>
  <c r="AA672" i="25"/>
  <c r="B672" i="25"/>
  <c r="A672" i="25"/>
  <c r="AA671" i="25"/>
  <c r="B671" i="25"/>
  <c r="A671" i="25"/>
  <c r="AA670" i="25"/>
  <c r="B670" i="25"/>
  <c r="A670" i="25"/>
  <c r="AA669" i="25"/>
  <c r="B669" i="25"/>
  <c r="A669" i="25"/>
  <c r="AA668" i="25"/>
  <c r="B668" i="25"/>
  <c r="A668" i="25"/>
  <c r="AA667" i="25"/>
  <c r="B667" i="25"/>
  <c r="A667" i="25"/>
  <c r="AA666" i="25"/>
  <c r="B666" i="25"/>
  <c r="A666" i="25"/>
  <c r="AA665" i="25"/>
  <c r="B665" i="25"/>
  <c r="A665" i="25"/>
  <c r="AA664" i="25"/>
  <c r="B664" i="25"/>
  <c r="A664" i="25"/>
  <c r="AA663" i="25"/>
  <c r="B663" i="25"/>
  <c r="A663" i="25"/>
  <c r="AA662" i="25"/>
  <c r="B662" i="25"/>
  <c r="A662" i="25"/>
  <c r="AA661" i="25"/>
  <c r="B661" i="25"/>
  <c r="A661" i="25"/>
  <c r="AA660" i="25"/>
  <c r="B660" i="25"/>
  <c r="A660" i="25"/>
  <c r="AA659" i="25"/>
  <c r="B659" i="25"/>
  <c r="A659" i="25"/>
  <c r="AA658" i="25"/>
  <c r="B658" i="25"/>
  <c r="A658" i="25"/>
  <c r="AA657" i="25"/>
  <c r="B657" i="25"/>
  <c r="A657" i="25"/>
  <c r="AA656" i="25"/>
  <c r="B656" i="25"/>
  <c r="A656" i="25"/>
  <c r="AA655" i="25"/>
  <c r="B655" i="25"/>
  <c r="A655" i="25"/>
  <c r="AA654" i="25"/>
  <c r="B654" i="25"/>
  <c r="A654" i="25"/>
  <c r="AA653" i="25"/>
  <c r="B653" i="25"/>
  <c r="A653" i="25"/>
  <c r="AA652" i="25"/>
  <c r="B652" i="25"/>
  <c r="A652" i="25"/>
  <c r="AA651" i="25"/>
  <c r="B651" i="25"/>
  <c r="A651" i="25"/>
  <c r="AA650" i="25"/>
  <c r="B650" i="25"/>
  <c r="A650" i="25"/>
  <c r="AA649" i="25"/>
  <c r="B649" i="25"/>
  <c r="A649" i="25"/>
  <c r="AA648" i="25"/>
  <c r="B648" i="25"/>
  <c r="A648" i="25"/>
  <c r="Q647" i="25"/>
  <c r="AA646" i="25"/>
  <c r="B646" i="25"/>
  <c r="A646" i="25"/>
  <c r="AA645" i="25"/>
  <c r="B645" i="25"/>
  <c r="A645" i="25"/>
  <c r="AA644" i="25"/>
  <c r="B644" i="25"/>
  <c r="A644" i="25"/>
  <c r="AA643" i="25"/>
  <c r="B643" i="25"/>
  <c r="A643" i="25"/>
  <c r="AA642" i="25"/>
  <c r="B642" i="25"/>
  <c r="A642" i="25"/>
  <c r="AA641" i="25"/>
  <c r="B641" i="25"/>
  <c r="A641" i="25"/>
  <c r="AA640" i="25"/>
  <c r="B640" i="25"/>
  <c r="A640" i="25"/>
  <c r="AA639" i="25"/>
  <c r="B639" i="25"/>
  <c r="A639" i="25"/>
  <c r="AA638" i="25"/>
  <c r="B638" i="25"/>
  <c r="A638" i="25"/>
  <c r="AA637" i="25"/>
  <c r="B637" i="25"/>
  <c r="A637" i="25"/>
  <c r="AA636" i="25"/>
  <c r="B636" i="25"/>
  <c r="A636" i="25"/>
  <c r="AA635" i="25"/>
  <c r="B635" i="25"/>
  <c r="A635" i="25"/>
  <c r="AA634" i="25"/>
  <c r="B634" i="25"/>
  <c r="A634" i="25"/>
  <c r="AA633" i="25"/>
  <c r="B633" i="25"/>
  <c r="A633" i="25"/>
  <c r="AA632" i="25"/>
  <c r="B632" i="25"/>
  <c r="A632" i="25"/>
  <c r="AA631" i="25"/>
  <c r="B631" i="25"/>
  <c r="A631" i="25"/>
  <c r="AA630" i="25"/>
  <c r="B630" i="25"/>
  <c r="A630" i="25"/>
  <c r="AA629" i="25"/>
  <c r="B629" i="25"/>
  <c r="A629" i="25"/>
  <c r="V628" i="25"/>
  <c r="A628" i="25"/>
  <c r="V627" i="25"/>
  <c r="A627" i="25"/>
  <c r="V626" i="25"/>
  <c r="A626" i="25"/>
  <c r="V625" i="25"/>
  <c r="A625" i="25"/>
  <c r="AA624" i="25"/>
  <c r="B624" i="25"/>
  <c r="A624" i="25"/>
  <c r="AA623" i="25"/>
  <c r="B623" i="25"/>
  <c r="A623" i="25"/>
  <c r="AA622" i="25"/>
  <c r="B622" i="25"/>
  <c r="A622" i="25"/>
  <c r="V621" i="25"/>
  <c r="A621" i="25"/>
  <c r="AA620" i="25"/>
  <c r="B620" i="25"/>
  <c r="A620" i="25"/>
  <c r="AA619" i="25"/>
  <c r="B619" i="25"/>
  <c r="A619" i="25"/>
  <c r="AA618" i="25"/>
  <c r="B618" i="25"/>
  <c r="A618" i="25"/>
  <c r="V617" i="25"/>
  <c r="A617" i="25"/>
  <c r="V616" i="25"/>
  <c r="A616" i="25"/>
  <c r="V615" i="25"/>
  <c r="A615" i="25"/>
  <c r="V614" i="25"/>
  <c r="A614" i="25"/>
  <c r="AA613" i="25"/>
  <c r="B613" i="25"/>
  <c r="A613" i="25"/>
  <c r="V612" i="25"/>
  <c r="A612" i="25"/>
  <c r="V611" i="25"/>
  <c r="A611" i="25"/>
  <c r="AA610" i="25"/>
  <c r="B610" i="25"/>
  <c r="A610" i="25"/>
  <c r="V609" i="25"/>
  <c r="A609" i="25"/>
  <c r="V608" i="25"/>
  <c r="A608" i="25"/>
  <c r="AA607" i="25"/>
  <c r="B607" i="25"/>
  <c r="A607" i="25"/>
  <c r="AA606" i="25"/>
  <c r="B606" i="25"/>
  <c r="A606" i="25"/>
  <c r="AA605" i="25"/>
  <c r="B605" i="25"/>
  <c r="A605" i="25"/>
  <c r="AA604" i="25"/>
  <c r="B604" i="25"/>
  <c r="A604" i="25"/>
  <c r="AA603" i="25"/>
  <c r="B603" i="25"/>
  <c r="A603" i="25"/>
  <c r="AA602" i="25"/>
  <c r="B602" i="25"/>
  <c r="A602" i="25"/>
  <c r="AA601" i="25"/>
  <c r="B601" i="25"/>
  <c r="A601" i="25"/>
  <c r="AA600" i="25"/>
  <c r="B600" i="25"/>
  <c r="A600" i="25"/>
  <c r="AA599" i="25"/>
  <c r="B599" i="25"/>
  <c r="A599" i="25"/>
  <c r="AA598" i="25"/>
  <c r="B598" i="25"/>
  <c r="A598" i="25"/>
  <c r="AA597" i="25"/>
  <c r="B597" i="25"/>
  <c r="A597" i="25"/>
  <c r="AA596" i="25"/>
  <c r="B596" i="25"/>
  <c r="A596" i="25"/>
  <c r="AA595" i="25"/>
  <c r="B595" i="25"/>
  <c r="A595" i="25"/>
  <c r="AA594" i="25"/>
  <c r="B594" i="25"/>
  <c r="A594" i="25"/>
  <c r="AA593" i="25"/>
  <c r="B593" i="25"/>
  <c r="A593" i="25"/>
  <c r="AA592" i="25"/>
  <c r="B592" i="25"/>
  <c r="A592" i="25"/>
  <c r="AA591" i="25"/>
  <c r="B591" i="25"/>
  <c r="A591" i="25"/>
  <c r="AA590" i="25"/>
  <c r="B590" i="25"/>
  <c r="AA589" i="25"/>
  <c r="B589" i="25"/>
  <c r="A589" i="25"/>
  <c r="V588" i="25"/>
  <c r="A588" i="25"/>
  <c r="V587" i="25"/>
  <c r="A587" i="25"/>
  <c r="AA586" i="25"/>
  <c r="B586" i="25"/>
  <c r="A586" i="25"/>
  <c r="AA585" i="25"/>
  <c r="B585" i="25"/>
  <c r="AA584" i="25"/>
  <c r="B584" i="25"/>
  <c r="AA583" i="25"/>
  <c r="B583" i="25"/>
  <c r="AA582" i="25"/>
  <c r="B582" i="25"/>
  <c r="A582" i="25"/>
  <c r="AA581" i="25"/>
  <c r="B581" i="25"/>
  <c r="AA580" i="25"/>
  <c r="B580" i="25"/>
  <c r="A580" i="25"/>
  <c r="AA579" i="25"/>
  <c r="B579" i="25"/>
  <c r="A579" i="25"/>
  <c r="AA578" i="25"/>
  <c r="B578" i="25"/>
  <c r="A578" i="25"/>
  <c r="AA577" i="25"/>
  <c r="B577" i="25"/>
  <c r="A577" i="25"/>
  <c r="AA576" i="25"/>
  <c r="B576" i="25"/>
  <c r="A576" i="25"/>
  <c r="AA575" i="25"/>
  <c r="B575" i="25"/>
  <c r="A575" i="25"/>
  <c r="AA574" i="25"/>
  <c r="B574" i="25"/>
  <c r="A574" i="25"/>
  <c r="AA573" i="25"/>
  <c r="B573" i="25"/>
  <c r="A573" i="25"/>
  <c r="AA572" i="25"/>
  <c r="B572" i="25"/>
  <c r="A572" i="25"/>
  <c r="AA571" i="25"/>
  <c r="B571" i="25"/>
  <c r="A571" i="25"/>
  <c r="AA570" i="25"/>
  <c r="B570" i="25"/>
  <c r="A570" i="25"/>
  <c r="AA569" i="25"/>
  <c r="B569" i="25"/>
  <c r="A569" i="25"/>
  <c r="AA568" i="25"/>
  <c r="B568" i="25"/>
  <c r="A568" i="25"/>
  <c r="AA567" i="25"/>
  <c r="B567" i="25"/>
  <c r="A567" i="25"/>
  <c r="AA566" i="25"/>
  <c r="B566" i="25"/>
  <c r="A566" i="25"/>
  <c r="AA565" i="25"/>
  <c r="B565" i="25"/>
  <c r="A565" i="25"/>
  <c r="AA564" i="25"/>
  <c r="B564" i="25"/>
  <c r="A564" i="25"/>
  <c r="AA563" i="25"/>
  <c r="B563" i="25"/>
  <c r="A563" i="25"/>
  <c r="AA562" i="25"/>
  <c r="B562" i="25"/>
  <c r="A562" i="25"/>
  <c r="AA561" i="25"/>
  <c r="B561" i="25"/>
  <c r="A561" i="25"/>
  <c r="AA560" i="25"/>
  <c r="B560" i="25"/>
  <c r="A560" i="25"/>
  <c r="AA559" i="25"/>
  <c r="B559" i="25"/>
  <c r="A559" i="25"/>
  <c r="Q558" i="25"/>
  <c r="AA557" i="25"/>
  <c r="B557" i="25"/>
  <c r="A557" i="25"/>
  <c r="AA556" i="25"/>
  <c r="B556" i="25"/>
  <c r="A556" i="25"/>
  <c r="AA555" i="25"/>
  <c r="B555" i="25"/>
  <c r="A555" i="25"/>
  <c r="AA554" i="25"/>
  <c r="B554" i="25"/>
  <c r="A554" i="25"/>
  <c r="AA553" i="25"/>
  <c r="B553" i="25"/>
  <c r="A553" i="25"/>
  <c r="AA552" i="25"/>
  <c r="B552" i="25"/>
  <c r="A552" i="25"/>
  <c r="AA551" i="25"/>
  <c r="B551" i="25"/>
  <c r="A551" i="25"/>
  <c r="AA550" i="25"/>
  <c r="B550" i="25"/>
  <c r="A550" i="25"/>
  <c r="AA549" i="25"/>
  <c r="B549" i="25"/>
  <c r="A549" i="25"/>
  <c r="AA548" i="25"/>
  <c r="B548" i="25"/>
  <c r="A548" i="25"/>
  <c r="AA547" i="25"/>
  <c r="B547" i="25"/>
  <c r="A547" i="25"/>
  <c r="AA546" i="25"/>
  <c r="B546" i="25"/>
  <c r="A546" i="25"/>
  <c r="AA545" i="25"/>
  <c r="B545" i="25"/>
  <c r="A545" i="25"/>
  <c r="AA544" i="25"/>
  <c r="B544" i="25"/>
  <c r="A544" i="25"/>
  <c r="AA543" i="25"/>
  <c r="B543" i="25"/>
  <c r="A543" i="25"/>
  <c r="AA542" i="25"/>
  <c r="B542" i="25"/>
  <c r="A542" i="25"/>
  <c r="AA541" i="25"/>
  <c r="B541" i="25"/>
  <c r="A541" i="25"/>
  <c r="AA540" i="25"/>
  <c r="B540" i="25"/>
  <c r="A540" i="25"/>
  <c r="AA539" i="25"/>
  <c r="B539" i="25"/>
  <c r="A539" i="25"/>
  <c r="AA538" i="25"/>
  <c r="B538" i="25"/>
  <c r="A538" i="25"/>
  <c r="AA537" i="25"/>
  <c r="B537" i="25"/>
  <c r="A537" i="25"/>
  <c r="AA536" i="25"/>
  <c r="B536" i="25"/>
  <c r="A536" i="25"/>
  <c r="AA535" i="25"/>
  <c r="B535" i="25"/>
  <c r="A535" i="25"/>
  <c r="AA534" i="25"/>
  <c r="B534" i="25"/>
  <c r="A534" i="25"/>
  <c r="AA533" i="25"/>
  <c r="B533" i="25"/>
  <c r="A533" i="25"/>
  <c r="AA532" i="25"/>
  <c r="B532" i="25"/>
  <c r="A532" i="25"/>
  <c r="AA531" i="25"/>
  <c r="B531" i="25"/>
  <c r="A531" i="25"/>
  <c r="AA530" i="25"/>
  <c r="B530" i="25"/>
  <c r="A530" i="25"/>
  <c r="AA529" i="25"/>
  <c r="B529" i="25"/>
  <c r="A529" i="25"/>
  <c r="AA528" i="25"/>
  <c r="B528" i="25"/>
  <c r="A528" i="25"/>
  <c r="AA527" i="25"/>
  <c r="B527" i="25"/>
  <c r="A527" i="25"/>
  <c r="AA526" i="25"/>
  <c r="B526" i="25"/>
  <c r="A526" i="25"/>
  <c r="AA525" i="25"/>
  <c r="B525" i="25"/>
  <c r="A525" i="25"/>
  <c r="V524" i="25"/>
  <c r="A524" i="25"/>
  <c r="AA523" i="25"/>
  <c r="B523" i="25"/>
  <c r="A523" i="25"/>
  <c r="AA522" i="25"/>
  <c r="B522" i="25"/>
  <c r="A522" i="25"/>
  <c r="AA521" i="25"/>
  <c r="B521" i="25"/>
  <c r="A521" i="25"/>
  <c r="AA520" i="25"/>
  <c r="B520" i="25"/>
  <c r="A520" i="25"/>
  <c r="AA519" i="25"/>
  <c r="B519" i="25"/>
  <c r="A519" i="25"/>
  <c r="AA518" i="25"/>
  <c r="B518" i="25"/>
  <c r="A518" i="25"/>
  <c r="AA517" i="25"/>
  <c r="B517" i="25"/>
  <c r="A517" i="25"/>
  <c r="AA516" i="25"/>
  <c r="B516" i="25"/>
  <c r="A516" i="25"/>
  <c r="AA515" i="25"/>
  <c r="B515" i="25"/>
  <c r="A515" i="25"/>
  <c r="AA514" i="25"/>
  <c r="B514" i="25"/>
  <c r="A514" i="25"/>
  <c r="AA513" i="25"/>
  <c r="B513" i="25"/>
  <c r="A513" i="25"/>
  <c r="AA512" i="25"/>
  <c r="B512" i="25"/>
  <c r="A512" i="25"/>
  <c r="AA511" i="25"/>
  <c r="B511" i="25"/>
  <c r="A511" i="25"/>
  <c r="AA510" i="25"/>
  <c r="B510" i="25"/>
  <c r="A510" i="25"/>
  <c r="AA509" i="25"/>
  <c r="B509" i="25"/>
  <c r="A509" i="25"/>
  <c r="AA508" i="25"/>
  <c r="B508" i="25"/>
  <c r="A508" i="25"/>
  <c r="AA507" i="25"/>
  <c r="B507" i="25"/>
  <c r="A507" i="25"/>
  <c r="AA506" i="25"/>
  <c r="B506" i="25"/>
  <c r="A506" i="25"/>
  <c r="AA505" i="25"/>
  <c r="B505" i="25"/>
  <c r="A505" i="25"/>
  <c r="AA504" i="25"/>
  <c r="B504" i="25"/>
  <c r="A504" i="25"/>
  <c r="AA503" i="25"/>
  <c r="B503" i="25"/>
  <c r="A503" i="25"/>
  <c r="AA502" i="25"/>
  <c r="B502" i="25"/>
  <c r="A502" i="25"/>
  <c r="AA501" i="25"/>
  <c r="B501" i="25"/>
  <c r="A501" i="25"/>
  <c r="AA500" i="25"/>
  <c r="B500" i="25"/>
  <c r="A500" i="25"/>
  <c r="AA499" i="25"/>
  <c r="B499" i="25"/>
  <c r="A499" i="25"/>
  <c r="AA498" i="25"/>
  <c r="B498" i="25"/>
  <c r="A498" i="25"/>
  <c r="AA497" i="25"/>
  <c r="B497" i="25"/>
  <c r="A497" i="25"/>
  <c r="AA496" i="25"/>
  <c r="B496" i="25"/>
  <c r="A496" i="25"/>
  <c r="AA495" i="25"/>
  <c r="B495" i="25"/>
  <c r="V494" i="25"/>
  <c r="A494" i="25"/>
  <c r="AA493" i="25"/>
  <c r="B493" i="25"/>
  <c r="A493" i="25"/>
  <c r="AA492" i="25"/>
  <c r="B492" i="25"/>
  <c r="A492" i="25"/>
  <c r="AA491" i="25"/>
  <c r="B491" i="25"/>
  <c r="A491" i="25"/>
  <c r="Q488" i="25"/>
  <c r="V487" i="25"/>
  <c r="A487" i="25"/>
  <c r="V486" i="25"/>
  <c r="A486" i="25"/>
  <c r="V485" i="25"/>
  <c r="A485" i="25"/>
  <c r="V484" i="25"/>
  <c r="A484" i="25"/>
  <c r="V483" i="25"/>
  <c r="A483" i="25"/>
  <c r="V482" i="25"/>
  <c r="A482" i="25"/>
  <c r="V481" i="25"/>
  <c r="A481" i="25"/>
  <c r="V480" i="25"/>
  <c r="A480" i="25"/>
  <c r="V479" i="25"/>
  <c r="A479" i="25"/>
  <c r="V478" i="25"/>
  <c r="A478" i="25"/>
  <c r="AA477" i="25"/>
  <c r="B477" i="25"/>
  <c r="A477" i="25"/>
  <c r="AA476" i="25"/>
  <c r="B476" i="25"/>
  <c r="A476" i="25"/>
  <c r="Q475" i="25"/>
  <c r="AA474" i="25"/>
  <c r="B474" i="25"/>
  <c r="A474" i="25"/>
  <c r="AA473" i="25"/>
  <c r="B473" i="25"/>
  <c r="A473" i="25"/>
  <c r="AA472" i="25"/>
  <c r="B472" i="25"/>
  <c r="A472" i="25"/>
  <c r="AA471" i="25"/>
  <c r="B471" i="25"/>
  <c r="A471" i="25"/>
  <c r="AA470" i="25"/>
  <c r="B470" i="25"/>
  <c r="A470" i="25"/>
  <c r="AA469" i="25"/>
  <c r="B469" i="25"/>
  <c r="A469" i="25"/>
  <c r="AA468" i="25"/>
  <c r="B468" i="25"/>
  <c r="A468" i="25"/>
  <c r="AA467" i="25"/>
  <c r="B467" i="25"/>
  <c r="A467" i="25"/>
  <c r="AA466" i="25"/>
  <c r="B466" i="25"/>
  <c r="A466" i="25"/>
  <c r="AA465" i="25"/>
  <c r="B465" i="25"/>
  <c r="A465" i="25"/>
  <c r="AA464" i="25"/>
  <c r="B464" i="25"/>
  <c r="A464" i="25"/>
  <c r="Q463" i="25"/>
  <c r="Q462" i="25"/>
  <c r="Q461" i="25"/>
  <c r="AA460" i="25"/>
  <c r="B460" i="25"/>
  <c r="Q459" i="25"/>
  <c r="Q458" i="25"/>
  <c r="AA457" i="25"/>
  <c r="B457" i="25"/>
  <c r="A457" i="25"/>
  <c r="AA456" i="25"/>
  <c r="B456" i="25"/>
  <c r="A456" i="25"/>
  <c r="AA455" i="25"/>
  <c r="B455" i="25"/>
  <c r="A455" i="25"/>
  <c r="AA454" i="25"/>
  <c r="B454" i="25"/>
  <c r="A454" i="25"/>
  <c r="AA453" i="25"/>
  <c r="B453" i="25"/>
  <c r="A453" i="25"/>
  <c r="AA452" i="25"/>
  <c r="B452" i="25"/>
  <c r="A452" i="25"/>
  <c r="AA451" i="25"/>
  <c r="B451" i="25"/>
  <c r="A451" i="25"/>
  <c r="AA450" i="25"/>
  <c r="B450" i="25"/>
  <c r="A450" i="25"/>
  <c r="AA449" i="25"/>
  <c r="B449" i="25"/>
  <c r="A449" i="25"/>
  <c r="V448" i="25"/>
  <c r="A448" i="25"/>
  <c r="AA447" i="25"/>
  <c r="B447" i="25"/>
  <c r="A447" i="25"/>
  <c r="AA446" i="25"/>
  <c r="B446" i="25"/>
  <c r="A446" i="25"/>
  <c r="V445" i="25"/>
  <c r="A445" i="25"/>
  <c r="V444" i="25"/>
  <c r="A444" i="25"/>
  <c r="V443" i="25"/>
  <c r="A443" i="25"/>
  <c r="AA442" i="25"/>
  <c r="B442" i="25"/>
  <c r="A442" i="25"/>
  <c r="V441" i="25"/>
  <c r="A441" i="25"/>
  <c r="AA440" i="25"/>
  <c r="B440" i="25"/>
  <c r="A440" i="25"/>
  <c r="AA439" i="25"/>
  <c r="B439" i="25"/>
  <c r="A439" i="25"/>
  <c r="AA438" i="25"/>
  <c r="B438" i="25"/>
  <c r="A438" i="25"/>
  <c r="AA437" i="25"/>
  <c r="B437" i="25"/>
  <c r="A437" i="25"/>
  <c r="AA436" i="25"/>
  <c r="B436" i="25"/>
  <c r="A436" i="25"/>
  <c r="AA435" i="25"/>
  <c r="B435" i="25"/>
  <c r="A435" i="25"/>
  <c r="AA434" i="25"/>
  <c r="B434" i="25"/>
  <c r="A434" i="25"/>
  <c r="AA433" i="25"/>
  <c r="B433" i="25"/>
  <c r="A433" i="25"/>
  <c r="AA432" i="25"/>
  <c r="B432" i="25"/>
  <c r="A432" i="25"/>
  <c r="AA431" i="25"/>
  <c r="B431" i="25"/>
  <c r="A431" i="25"/>
  <c r="AA430" i="25"/>
  <c r="B430" i="25"/>
  <c r="A430" i="25"/>
  <c r="AA429" i="25"/>
  <c r="B429" i="25"/>
  <c r="A429" i="25"/>
  <c r="AA428" i="25"/>
  <c r="B428" i="25"/>
  <c r="A428" i="25"/>
  <c r="AA427" i="25"/>
  <c r="B427" i="25"/>
  <c r="A427" i="25"/>
  <c r="AA426" i="25"/>
  <c r="B426" i="25"/>
  <c r="A426" i="25"/>
  <c r="AA425" i="25"/>
  <c r="B425" i="25"/>
  <c r="A425" i="25"/>
  <c r="AA424" i="25"/>
  <c r="B424" i="25"/>
  <c r="A424" i="25"/>
  <c r="AA423" i="25"/>
  <c r="B423" i="25"/>
  <c r="A423" i="25"/>
  <c r="AA422" i="25"/>
  <c r="B422" i="25"/>
  <c r="A422" i="25"/>
  <c r="AA421" i="25"/>
  <c r="B421" i="25"/>
  <c r="A421" i="25"/>
  <c r="AA420" i="25"/>
  <c r="B420" i="25"/>
  <c r="A420" i="25"/>
  <c r="AA419" i="25"/>
  <c r="B419" i="25"/>
  <c r="A419" i="25"/>
  <c r="AA418" i="25"/>
  <c r="B418" i="25"/>
  <c r="A418" i="25"/>
  <c r="AA417" i="25"/>
  <c r="B417" i="25"/>
  <c r="A417" i="25"/>
  <c r="AA416" i="25"/>
  <c r="B416" i="25"/>
  <c r="A416" i="25"/>
  <c r="AA415" i="25"/>
  <c r="B415" i="25"/>
  <c r="A415" i="25"/>
  <c r="AA414" i="25"/>
  <c r="B414" i="25"/>
  <c r="A414" i="25"/>
  <c r="AA413" i="25"/>
  <c r="B413" i="25"/>
  <c r="A413" i="25"/>
  <c r="AA412" i="25"/>
  <c r="B412" i="25"/>
  <c r="A412" i="25"/>
  <c r="AA411" i="25"/>
  <c r="B411" i="25"/>
  <c r="A411" i="25"/>
  <c r="AA410" i="25"/>
  <c r="B410" i="25"/>
  <c r="A410" i="25"/>
  <c r="AA409" i="25"/>
  <c r="B409" i="25"/>
  <c r="A409" i="25"/>
  <c r="AA408" i="25"/>
  <c r="B408" i="25"/>
  <c r="A408" i="25"/>
  <c r="AA407" i="25"/>
  <c r="B407" i="25"/>
  <c r="A407" i="25"/>
  <c r="AA406" i="25"/>
  <c r="B406" i="25"/>
  <c r="A406" i="25"/>
  <c r="AA405" i="25"/>
  <c r="B405" i="25"/>
  <c r="A405" i="25"/>
  <c r="AA404" i="25"/>
  <c r="B404" i="25"/>
  <c r="A404" i="25"/>
  <c r="AA403" i="25"/>
  <c r="B403" i="25"/>
  <c r="A403" i="25"/>
  <c r="AA402" i="25"/>
  <c r="B402" i="25"/>
  <c r="A402" i="25"/>
  <c r="AA401" i="25"/>
  <c r="B401" i="25"/>
  <c r="A401" i="25"/>
  <c r="AA400" i="25"/>
  <c r="B400" i="25"/>
  <c r="A400" i="25"/>
  <c r="AA399" i="25"/>
  <c r="B399" i="25"/>
  <c r="A399" i="25"/>
  <c r="AA398" i="25"/>
  <c r="B398" i="25"/>
  <c r="A398" i="25"/>
  <c r="AA397" i="25"/>
  <c r="B397" i="25"/>
  <c r="A397" i="25"/>
  <c r="AA396" i="25"/>
  <c r="B396" i="25"/>
  <c r="A396" i="25"/>
  <c r="AA395" i="25"/>
  <c r="B395" i="25"/>
  <c r="A395" i="25"/>
  <c r="AA394" i="25"/>
  <c r="B394" i="25"/>
  <c r="A394" i="25"/>
  <c r="AA393" i="25"/>
  <c r="B393" i="25"/>
  <c r="A393" i="25"/>
  <c r="AA392" i="25"/>
  <c r="B392" i="25"/>
  <c r="A392" i="25"/>
  <c r="AA391" i="25"/>
  <c r="B391" i="25"/>
  <c r="A391" i="25"/>
  <c r="AA390" i="25"/>
  <c r="B390" i="25"/>
  <c r="A390" i="25"/>
  <c r="AA389" i="25"/>
  <c r="B389" i="25"/>
  <c r="A389" i="25"/>
  <c r="AA388" i="25"/>
  <c r="B388" i="25"/>
  <c r="A388" i="25"/>
  <c r="AA387" i="25"/>
  <c r="B387" i="25"/>
  <c r="A387" i="25"/>
  <c r="AA386" i="25"/>
  <c r="B386" i="25"/>
  <c r="A386" i="25"/>
  <c r="AA385" i="25"/>
  <c r="B385" i="25"/>
  <c r="A385" i="25"/>
  <c r="AA384" i="25"/>
  <c r="B384" i="25"/>
  <c r="A384" i="25"/>
  <c r="AA383" i="25"/>
  <c r="B383" i="25"/>
  <c r="A383" i="25"/>
  <c r="AA382" i="25"/>
  <c r="B382" i="25"/>
  <c r="A382" i="25"/>
  <c r="AA381" i="25"/>
  <c r="B381" i="25"/>
  <c r="A381" i="25"/>
  <c r="AA380" i="25"/>
  <c r="B380" i="25"/>
  <c r="A380" i="25"/>
  <c r="AA379" i="25"/>
  <c r="B379" i="25"/>
  <c r="A379" i="25"/>
  <c r="AA378" i="25"/>
  <c r="B378" i="25"/>
  <c r="A378" i="25"/>
  <c r="AA377" i="25"/>
  <c r="B377" i="25"/>
  <c r="A377" i="25"/>
  <c r="AA376" i="25"/>
  <c r="B376" i="25"/>
  <c r="A376" i="25"/>
  <c r="AA375" i="25"/>
  <c r="B375" i="25"/>
  <c r="A375" i="25"/>
  <c r="AA374" i="25"/>
  <c r="B374" i="25"/>
  <c r="A374" i="25"/>
  <c r="AA373" i="25"/>
  <c r="B373" i="25"/>
  <c r="A373" i="25"/>
  <c r="AA372" i="25"/>
  <c r="B372" i="25"/>
  <c r="A372" i="25"/>
  <c r="AA371" i="25"/>
  <c r="B371" i="25"/>
  <c r="A371" i="25"/>
  <c r="AA370" i="25"/>
  <c r="B370" i="25"/>
  <c r="A370" i="25"/>
  <c r="AA369" i="25"/>
  <c r="B369" i="25"/>
  <c r="A369" i="25"/>
  <c r="AA368" i="25"/>
  <c r="B368" i="25"/>
  <c r="A368" i="25"/>
  <c r="AA367" i="25"/>
  <c r="B367" i="25"/>
  <c r="A367" i="25"/>
  <c r="AA366" i="25"/>
  <c r="B366" i="25"/>
  <c r="A366" i="25"/>
  <c r="AA365" i="25"/>
  <c r="B365" i="25"/>
  <c r="A365" i="25"/>
  <c r="AA364" i="25"/>
  <c r="B364" i="25"/>
  <c r="A364" i="25"/>
  <c r="AA363" i="25"/>
  <c r="B363" i="25"/>
  <c r="A363" i="25"/>
  <c r="AA362" i="25"/>
  <c r="B362" i="25"/>
  <c r="A362" i="25"/>
  <c r="AA361" i="25"/>
  <c r="B361" i="25"/>
  <c r="A361" i="25"/>
  <c r="AA360" i="25"/>
  <c r="B360" i="25"/>
  <c r="A360" i="25"/>
  <c r="AA359" i="25"/>
  <c r="B359" i="25"/>
  <c r="A359" i="25"/>
  <c r="AA358" i="25"/>
  <c r="B358" i="25"/>
  <c r="A358" i="25"/>
  <c r="AA357" i="25"/>
  <c r="B357" i="25"/>
  <c r="A357" i="25"/>
  <c r="AA356" i="25"/>
  <c r="B356" i="25"/>
  <c r="A356" i="25"/>
  <c r="AA355" i="25"/>
  <c r="B355" i="25"/>
  <c r="A355" i="25"/>
  <c r="AA354" i="25"/>
  <c r="B354" i="25"/>
  <c r="A354" i="25"/>
  <c r="AA353" i="25"/>
  <c r="B353" i="25"/>
  <c r="A353" i="25"/>
  <c r="AA352" i="25"/>
  <c r="B352" i="25"/>
  <c r="A352" i="25"/>
  <c r="AA351" i="25"/>
  <c r="B351" i="25"/>
  <c r="A351" i="25"/>
  <c r="AA350" i="25"/>
  <c r="B350" i="25"/>
  <c r="A350" i="25"/>
  <c r="AA349" i="25"/>
  <c r="B349" i="25"/>
  <c r="A349" i="25"/>
  <c r="AA348" i="25"/>
  <c r="B348" i="25"/>
  <c r="A348" i="25"/>
  <c r="AA347" i="25"/>
  <c r="B347" i="25"/>
  <c r="A347" i="25"/>
  <c r="AA346" i="25"/>
  <c r="B346" i="25"/>
  <c r="A346" i="25"/>
  <c r="AA345" i="25"/>
  <c r="B345" i="25"/>
  <c r="A345" i="25"/>
  <c r="AA344" i="25"/>
  <c r="B344" i="25"/>
  <c r="A344" i="25"/>
  <c r="AA343" i="25"/>
  <c r="B343" i="25"/>
  <c r="A343" i="25"/>
  <c r="AA342" i="25"/>
  <c r="B342" i="25"/>
  <c r="A342" i="25"/>
  <c r="AA341" i="25"/>
  <c r="B341" i="25"/>
  <c r="A341" i="25"/>
  <c r="AA340" i="25"/>
  <c r="B340" i="25"/>
  <c r="A340" i="25"/>
  <c r="AA339" i="25"/>
  <c r="B339" i="25"/>
  <c r="A339" i="25"/>
  <c r="AA338" i="25"/>
  <c r="B338" i="25"/>
  <c r="A338" i="25"/>
  <c r="AA337" i="25"/>
  <c r="B337" i="25"/>
  <c r="A337" i="25"/>
  <c r="AA336" i="25"/>
  <c r="B336" i="25"/>
  <c r="A336" i="25"/>
  <c r="AA335" i="25"/>
  <c r="B335" i="25"/>
  <c r="A335" i="25"/>
  <c r="AA334" i="25"/>
  <c r="B334" i="25"/>
  <c r="A334" i="25"/>
  <c r="AA333" i="25"/>
  <c r="B333" i="25"/>
  <c r="A333" i="25"/>
  <c r="AA332" i="25"/>
  <c r="B332" i="25"/>
  <c r="A332" i="25"/>
  <c r="AA331" i="25"/>
  <c r="B331" i="25"/>
  <c r="A331" i="25"/>
  <c r="AA330" i="25"/>
  <c r="B330" i="25"/>
  <c r="A330" i="25"/>
  <c r="AA329" i="25"/>
  <c r="B329" i="25"/>
  <c r="A329" i="25"/>
  <c r="AA328" i="25"/>
  <c r="B328" i="25"/>
  <c r="A328" i="25"/>
  <c r="AA327" i="25"/>
  <c r="B327" i="25"/>
  <c r="A327" i="25"/>
  <c r="AA326" i="25"/>
  <c r="B326" i="25"/>
  <c r="A326" i="25"/>
  <c r="AA325" i="25"/>
  <c r="B325" i="25"/>
  <c r="A325" i="25"/>
  <c r="AA324" i="25"/>
  <c r="B324" i="25"/>
  <c r="A324" i="25"/>
  <c r="AA323" i="25"/>
  <c r="B323" i="25"/>
  <c r="A323" i="25"/>
  <c r="AA322" i="25"/>
  <c r="B322" i="25"/>
  <c r="A322" i="25"/>
  <c r="AA321" i="25"/>
  <c r="B321" i="25"/>
  <c r="A321" i="25"/>
  <c r="AA320" i="25"/>
  <c r="B320" i="25"/>
  <c r="A320" i="25"/>
  <c r="AA319" i="25"/>
  <c r="B319" i="25"/>
  <c r="A319" i="25"/>
  <c r="AA318" i="25"/>
  <c r="B318" i="25"/>
  <c r="A318" i="25"/>
  <c r="AA317" i="25"/>
  <c r="B317" i="25"/>
  <c r="A317" i="25"/>
  <c r="AA316" i="25"/>
  <c r="B316" i="25"/>
  <c r="A316" i="25"/>
  <c r="AA315" i="25"/>
  <c r="B315" i="25"/>
  <c r="A315" i="25"/>
  <c r="AA314" i="25"/>
  <c r="B314" i="25"/>
  <c r="A314" i="25"/>
  <c r="AA313" i="25"/>
  <c r="B313" i="25"/>
  <c r="A313" i="25"/>
  <c r="AA312" i="25"/>
  <c r="B312" i="25"/>
  <c r="A312" i="25"/>
  <c r="AA311" i="25"/>
  <c r="B311" i="25"/>
  <c r="A311" i="25"/>
  <c r="AA310" i="25"/>
  <c r="B310" i="25"/>
  <c r="A310" i="25"/>
  <c r="AA309" i="25"/>
  <c r="B309" i="25"/>
  <c r="A309" i="25"/>
  <c r="AA308" i="25"/>
  <c r="B308" i="25"/>
  <c r="A308" i="25"/>
  <c r="AA307" i="25"/>
  <c r="B307" i="25"/>
  <c r="A307" i="25"/>
  <c r="AA306" i="25"/>
  <c r="B306" i="25"/>
  <c r="A306" i="25"/>
  <c r="AA305" i="25"/>
  <c r="B305" i="25"/>
  <c r="A305" i="25"/>
  <c r="AA304" i="25"/>
  <c r="B304" i="25"/>
  <c r="A304" i="25"/>
  <c r="AA303" i="25"/>
  <c r="B303" i="25"/>
  <c r="A303" i="25"/>
  <c r="AA302" i="25"/>
  <c r="B302" i="25"/>
  <c r="A302" i="25"/>
  <c r="Q301" i="25"/>
  <c r="AA300" i="25"/>
  <c r="B300" i="25"/>
  <c r="A300" i="25"/>
  <c r="AA299" i="25"/>
  <c r="B299" i="25"/>
  <c r="A299" i="25"/>
  <c r="AA298" i="25"/>
  <c r="B298" i="25"/>
  <c r="A298" i="25"/>
  <c r="AA297" i="25"/>
  <c r="B297" i="25"/>
  <c r="A297" i="25"/>
  <c r="AA296" i="25"/>
  <c r="B296" i="25"/>
  <c r="A296" i="25"/>
  <c r="AA295" i="25"/>
  <c r="B295" i="25"/>
  <c r="AA294" i="25"/>
  <c r="B294" i="25"/>
  <c r="A294" i="25"/>
  <c r="AA293" i="25"/>
  <c r="B293" i="25"/>
  <c r="A293" i="25"/>
  <c r="AA292" i="25"/>
  <c r="B292" i="25"/>
  <c r="A292" i="25"/>
  <c r="AA291" i="25"/>
  <c r="B291" i="25"/>
  <c r="A291" i="25"/>
  <c r="AA290" i="25"/>
  <c r="B290" i="25"/>
  <c r="A290" i="25"/>
  <c r="AA289" i="25"/>
  <c r="B289" i="25"/>
  <c r="A289" i="25"/>
  <c r="AA288" i="25"/>
  <c r="B288" i="25"/>
  <c r="A288" i="25"/>
  <c r="AA287" i="25"/>
  <c r="B287" i="25"/>
  <c r="A287" i="25"/>
  <c r="AA286" i="25"/>
  <c r="B286" i="25"/>
  <c r="A286" i="25"/>
  <c r="AA285" i="25"/>
  <c r="B285" i="25"/>
  <c r="A285" i="25"/>
  <c r="AA284" i="25"/>
  <c r="B284" i="25"/>
  <c r="A284" i="25"/>
  <c r="AA283" i="25"/>
  <c r="B283" i="25"/>
  <c r="A283" i="25"/>
  <c r="AA282" i="25"/>
  <c r="B282" i="25"/>
  <c r="A282" i="25"/>
  <c r="AA281" i="25"/>
  <c r="B281" i="25"/>
  <c r="A281" i="25"/>
  <c r="AA280" i="25"/>
  <c r="B280" i="25"/>
  <c r="A280" i="25"/>
  <c r="V279" i="25"/>
  <c r="A279" i="25"/>
  <c r="AA278" i="25"/>
  <c r="B278" i="25"/>
  <c r="A278" i="25"/>
  <c r="AA277" i="25"/>
  <c r="B277" i="25"/>
  <c r="A277" i="25"/>
  <c r="AA276" i="25"/>
  <c r="B276" i="25"/>
  <c r="A276" i="25"/>
  <c r="AA275" i="25"/>
  <c r="B275" i="25"/>
  <c r="A275" i="25"/>
  <c r="AA274" i="25"/>
  <c r="B274" i="25"/>
  <c r="A274" i="25"/>
  <c r="AA273" i="25"/>
  <c r="B273" i="25"/>
  <c r="A273" i="25"/>
  <c r="AA272" i="25"/>
  <c r="B272" i="25"/>
  <c r="A272" i="25"/>
  <c r="AA271" i="25"/>
  <c r="B271" i="25"/>
  <c r="A271" i="25"/>
  <c r="AA270" i="25"/>
  <c r="B270" i="25"/>
  <c r="A270" i="25"/>
  <c r="AA269" i="25"/>
  <c r="B269" i="25"/>
  <c r="A269" i="25"/>
  <c r="AA268" i="25"/>
  <c r="B268" i="25"/>
  <c r="A268" i="25"/>
  <c r="AA267" i="25"/>
  <c r="B267" i="25"/>
  <c r="A267" i="25"/>
  <c r="AA266" i="25"/>
  <c r="B266" i="25"/>
  <c r="A266" i="25"/>
  <c r="AA265" i="25"/>
  <c r="B265" i="25"/>
  <c r="A265" i="25"/>
  <c r="AA264" i="25"/>
  <c r="B264" i="25"/>
  <c r="A264" i="25"/>
  <c r="AA263" i="25"/>
  <c r="B263" i="25"/>
  <c r="A263" i="25"/>
  <c r="AA262" i="25"/>
  <c r="B262" i="25"/>
  <c r="A262" i="25"/>
  <c r="AA261" i="25"/>
  <c r="B261" i="25"/>
  <c r="A261" i="25"/>
  <c r="AA260" i="25"/>
  <c r="B260" i="25"/>
  <c r="A260" i="25"/>
  <c r="AA259" i="25"/>
  <c r="B259" i="25"/>
  <c r="A259" i="25"/>
  <c r="AA258" i="25"/>
  <c r="B258" i="25"/>
  <c r="A258" i="25"/>
  <c r="AA257" i="25"/>
  <c r="B257" i="25"/>
  <c r="A257" i="25"/>
  <c r="AA256" i="25"/>
  <c r="B256" i="25"/>
  <c r="A256" i="25"/>
  <c r="AA255" i="25"/>
  <c r="B255" i="25"/>
  <c r="A255" i="25"/>
  <c r="AA254" i="25"/>
  <c r="B254" i="25"/>
  <c r="A254" i="25"/>
  <c r="AA253" i="25"/>
  <c r="B253" i="25"/>
  <c r="A253" i="25"/>
  <c r="AA252" i="25"/>
  <c r="B252" i="25"/>
  <c r="A252" i="25"/>
  <c r="AA251" i="25"/>
  <c r="B251" i="25"/>
  <c r="A251" i="25"/>
  <c r="AA250" i="25"/>
  <c r="B250" i="25"/>
  <c r="A250" i="25"/>
  <c r="AA249" i="25"/>
  <c r="B249" i="25"/>
  <c r="A249" i="25"/>
  <c r="AA248" i="25"/>
  <c r="B248" i="25"/>
  <c r="A248" i="25"/>
  <c r="AA247" i="25"/>
  <c r="B247" i="25"/>
  <c r="A247" i="25"/>
  <c r="AA246" i="25"/>
  <c r="B246" i="25"/>
  <c r="A246" i="25"/>
  <c r="AA245" i="25"/>
  <c r="B245" i="25"/>
  <c r="A245" i="25"/>
  <c r="AA244" i="25"/>
  <c r="B244" i="25"/>
  <c r="A244" i="25"/>
  <c r="AA243" i="25"/>
  <c r="B243" i="25"/>
  <c r="A243" i="25"/>
  <c r="AA242" i="25"/>
  <c r="B242" i="25"/>
  <c r="A242" i="25"/>
  <c r="AA241" i="25"/>
  <c r="B241" i="25"/>
  <c r="A241" i="25"/>
  <c r="AA240" i="25"/>
  <c r="B240" i="25"/>
  <c r="A240" i="25"/>
  <c r="AA239" i="25"/>
  <c r="B239" i="25"/>
  <c r="A239" i="25"/>
  <c r="AA238" i="25"/>
  <c r="B238" i="25"/>
  <c r="A238" i="25"/>
  <c r="AA237" i="25"/>
  <c r="B237" i="25"/>
  <c r="A237" i="25"/>
  <c r="AA236" i="25"/>
  <c r="B236" i="25"/>
  <c r="A236" i="25"/>
  <c r="AA235" i="25"/>
  <c r="B235" i="25"/>
  <c r="A235" i="25"/>
  <c r="AA234" i="25"/>
  <c r="B234" i="25"/>
  <c r="A234" i="25"/>
  <c r="AA233" i="25"/>
  <c r="B233" i="25"/>
  <c r="A233" i="25"/>
  <c r="AA232" i="25"/>
  <c r="B232" i="25"/>
  <c r="A232" i="25"/>
  <c r="AA231" i="25"/>
  <c r="B231" i="25"/>
  <c r="A231" i="25"/>
  <c r="AA230" i="25"/>
  <c r="B230" i="25"/>
  <c r="A230" i="25"/>
  <c r="AA229" i="25"/>
  <c r="B229" i="25"/>
  <c r="A229" i="25"/>
  <c r="AA228" i="25"/>
  <c r="B228" i="25"/>
  <c r="A228" i="25"/>
  <c r="AA227" i="25"/>
  <c r="B227" i="25"/>
  <c r="A227" i="25"/>
  <c r="AA226" i="25"/>
  <c r="B226" i="25"/>
  <c r="A226" i="25"/>
  <c r="AA225" i="25"/>
  <c r="B225" i="25"/>
  <c r="A225" i="25"/>
  <c r="AA224" i="25"/>
  <c r="B224" i="25"/>
  <c r="A224" i="25"/>
  <c r="AA223" i="25"/>
  <c r="B223" i="25"/>
  <c r="A223" i="25"/>
  <c r="AA222" i="25"/>
  <c r="B222" i="25"/>
  <c r="A222" i="25"/>
  <c r="AA221" i="25"/>
  <c r="B221" i="25"/>
  <c r="A221" i="25"/>
  <c r="AA220" i="25"/>
  <c r="B220" i="25"/>
  <c r="A220" i="25"/>
  <c r="AA219" i="25"/>
  <c r="B219" i="25"/>
  <c r="A219" i="25"/>
  <c r="AA218" i="25"/>
  <c r="B218" i="25"/>
  <c r="A218" i="25"/>
  <c r="AA217" i="25"/>
  <c r="B217" i="25"/>
  <c r="A217" i="25"/>
  <c r="AA216" i="25"/>
  <c r="B216" i="25"/>
  <c r="A216" i="25"/>
  <c r="AA215" i="25"/>
  <c r="B215" i="25"/>
  <c r="A215" i="25"/>
  <c r="AA214" i="25"/>
  <c r="B214" i="25"/>
  <c r="A214" i="25"/>
  <c r="AA213" i="25"/>
  <c r="B213" i="25"/>
  <c r="A213" i="25"/>
  <c r="AA212" i="25"/>
  <c r="B212" i="25"/>
  <c r="A212" i="25"/>
  <c r="AA211" i="25"/>
  <c r="B211" i="25"/>
  <c r="A211" i="25"/>
  <c r="AA210" i="25"/>
  <c r="B210" i="25"/>
  <c r="A210" i="25"/>
  <c r="AA209" i="25"/>
  <c r="B209" i="25"/>
  <c r="A209" i="25"/>
  <c r="B208" i="25"/>
  <c r="A208" i="25"/>
  <c r="AA207" i="25"/>
  <c r="B207" i="25"/>
  <c r="A207" i="25"/>
  <c r="AA206" i="25"/>
  <c r="B206" i="25"/>
  <c r="A206" i="25"/>
  <c r="AA205" i="25"/>
  <c r="B205" i="25"/>
  <c r="A205" i="25"/>
  <c r="AA204" i="25"/>
  <c r="B204" i="25"/>
  <c r="A204" i="25"/>
  <c r="AA203" i="25"/>
  <c r="B203" i="25"/>
  <c r="A203" i="25"/>
  <c r="AA202" i="25"/>
  <c r="B202" i="25"/>
  <c r="A202" i="25"/>
  <c r="AA201" i="25"/>
  <c r="B201" i="25"/>
  <c r="A201" i="25"/>
  <c r="AA200" i="25"/>
  <c r="B200" i="25"/>
  <c r="A200" i="25"/>
  <c r="AA199" i="25"/>
  <c r="B199" i="25"/>
  <c r="A199" i="25"/>
  <c r="AA198" i="25"/>
  <c r="B198" i="25"/>
  <c r="A198" i="25"/>
  <c r="AA197" i="25"/>
  <c r="B197" i="25"/>
  <c r="A197" i="25"/>
  <c r="AA196" i="25"/>
  <c r="B196" i="25"/>
  <c r="A196" i="25"/>
  <c r="AA195" i="25"/>
  <c r="B195" i="25"/>
  <c r="A195" i="25"/>
  <c r="AA194" i="25"/>
  <c r="B194" i="25"/>
  <c r="A194" i="25"/>
  <c r="AA193" i="25"/>
  <c r="B193" i="25"/>
  <c r="A193" i="25"/>
  <c r="AA192" i="25"/>
  <c r="B192" i="25"/>
  <c r="A192" i="25"/>
  <c r="AA191" i="25"/>
  <c r="B191" i="25"/>
  <c r="A191" i="25"/>
  <c r="AA190" i="25"/>
  <c r="B190" i="25"/>
  <c r="A190" i="25"/>
  <c r="AA189" i="25"/>
  <c r="B189" i="25"/>
  <c r="A189" i="25"/>
  <c r="AA188" i="25"/>
  <c r="B188" i="25"/>
  <c r="A188" i="25"/>
  <c r="AA187" i="25"/>
  <c r="B187" i="25"/>
  <c r="A187" i="25"/>
  <c r="AA186" i="25"/>
  <c r="B186" i="25"/>
  <c r="A186" i="25"/>
  <c r="AA185" i="25"/>
  <c r="B185" i="25"/>
  <c r="A185" i="25"/>
  <c r="AA184" i="25"/>
  <c r="B184" i="25"/>
  <c r="A184" i="25"/>
  <c r="AA183" i="25"/>
  <c r="B183" i="25"/>
  <c r="A183" i="25"/>
  <c r="AA182" i="25"/>
  <c r="B182" i="25"/>
  <c r="A182" i="25"/>
  <c r="AA181" i="25"/>
  <c r="B181" i="25"/>
  <c r="A181" i="25"/>
  <c r="AA180" i="25"/>
  <c r="B180" i="25"/>
  <c r="A180" i="25"/>
  <c r="AA179" i="25"/>
  <c r="B179" i="25"/>
  <c r="A179" i="25"/>
  <c r="AA178" i="25"/>
  <c r="B178" i="25"/>
  <c r="A178" i="25"/>
  <c r="AA177" i="25"/>
  <c r="B177" i="25"/>
  <c r="A177" i="25"/>
  <c r="AA176" i="25"/>
  <c r="B176" i="25"/>
  <c r="A176" i="25"/>
  <c r="AA175" i="25"/>
  <c r="B175" i="25"/>
  <c r="A175" i="25"/>
  <c r="AA174" i="25"/>
  <c r="B174" i="25"/>
  <c r="A174" i="25"/>
  <c r="AA173" i="25"/>
  <c r="B173" i="25"/>
  <c r="A173" i="25"/>
  <c r="AA172" i="25"/>
  <c r="B172" i="25"/>
  <c r="A172" i="25"/>
  <c r="AA171" i="25"/>
  <c r="B171" i="25"/>
  <c r="A171" i="25"/>
  <c r="AA170" i="25"/>
  <c r="B170" i="25"/>
  <c r="A170" i="25"/>
  <c r="AA169" i="25"/>
  <c r="B169" i="25"/>
  <c r="A169" i="25"/>
  <c r="AA168" i="25"/>
  <c r="B168" i="25"/>
  <c r="A168" i="25"/>
  <c r="AA167" i="25"/>
  <c r="B167" i="25"/>
  <c r="A167" i="25"/>
  <c r="AA166" i="25"/>
  <c r="B166" i="25"/>
  <c r="A166" i="25"/>
  <c r="AA165" i="25"/>
  <c r="B165" i="25"/>
  <c r="A165" i="25"/>
  <c r="AA164" i="25"/>
  <c r="B164" i="25"/>
  <c r="A164" i="25"/>
  <c r="AA163" i="25"/>
  <c r="B163" i="25"/>
  <c r="A163" i="25"/>
  <c r="AA162" i="25"/>
  <c r="B162" i="25"/>
  <c r="A162" i="25"/>
  <c r="AA161" i="25"/>
  <c r="B161" i="25"/>
  <c r="A161" i="25"/>
  <c r="AA160" i="25"/>
  <c r="B160" i="25"/>
  <c r="A160" i="25"/>
  <c r="AA159" i="25"/>
  <c r="B159" i="25"/>
  <c r="A159" i="25"/>
  <c r="AA158" i="25"/>
  <c r="B158" i="25"/>
  <c r="A158" i="25"/>
  <c r="AA157" i="25"/>
  <c r="B157" i="25"/>
  <c r="A157" i="25"/>
  <c r="AA156" i="25"/>
  <c r="B156" i="25"/>
  <c r="A156" i="25"/>
  <c r="AA155" i="25"/>
  <c r="B155" i="25"/>
  <c r="A155" i="25"/>
  <c r="AA154" i="25"/>
  <c r="B154" i="25"/>
  <c r="A154" i="25"/>
  <c r="AA153" i="25"/>
  <c r="B153" i="25"/>
  <c r="A153" i="25"/>
  <c r="AA152" i="25"/>
  <c r="B152" i="25"/>
  <c r="A152" i="25"/>
  <c r="AA151" i="25"/>
  <c r="B151" i="25"/>
  <c r="A151" i="25"/>
  <c r="AA150" i="25"/>
  <c r="B150" i="25"/>
  <c r="A150" i="25"/>
  <c r="AA149" i="25"/>
  <c r="B149" i="25"/>
  <c r="A149" i="25"/>
  <c r="AA148" i="25"/>
  <c r="B148" i="25"/>
  <c r="A148" i="25"/>
  <c r="AA147" i="25"/>
  <c r="B147" i="25"/>
  <c r="A147" i="25"/>
  <c r="AA146" i="25"/>
  <c r="B146" i="25"/>
  <c r="A146" i="25"/>
  <c r="AA145" i="25"/>
  <c r="B145" i="25"/>
  <c r="A145" i="25"/>
  <c r="AA144" i="25"/>
  <c r="B144" i="25"/>
  <c r="A144" i="25"/>
  <c r="AA143" i="25"/>
  <c r="B143" i="25"/>
  <c r="A143" i="25"/>
  <c r="AA142" i="25"/>
  <c r="B142" i="25"/>
  <c r="A142" i="25"/>
  <c r="AA141" i="25"/>
  <c r="B141" i="25"/>
  <c r="A141" i="25"/>
  <c r="AA140" i="25"/>
  <c r="B140" i="25"/>
  <c r="A140" i="25"/>
  <c r="AA139" i="25"/>
  <c r="B139" i="25"/>
  <c r="A139" i="25"/>
  <c r="AA138" i="25"/>
  <c r="B138" i="25"/>
  <c r="A138" i="25"/>
  <c r="AA137" i="25"/>
  <c r="B137" i="25"/>
  <c r="A137" i="25"/>
  <c r="AA136" i="25"/>
  <c r="B136" i="25"/>
  <c r="A136" i="25"/>
  <c r="AA135" i="25"/>
  <c r="B135" i="25"/>
  <c r="A135" i="25"/>
  <c r="AA134" i="25"/>
  <c r="B134" i="25"/>
  <c r="A134" i="25"/>
  <c r="AA133" i="25"/>
  <c r="B133" i="25"/>
  <c r="A133" i="25"/>
  <c r="AA132" i="25"/>
  <c r="B132" i="25"/>
  <c r="A132" i="25"/>
  <c r="AA131" i="25"/>
  <c r="B131" i="25"/>
  <c r="A131" i="25"/>
  <c r="AA130" i="25"/>
  <c r="B130" i="25"/>
  <c r="A130" i="25"/>
  <c r="AA129" i="25"/>
  <c r="B129" i="25"/>
  <c r="A129" i="25"/>
  <c r="AA128" i="25"/>
  <c r="B128" i="25"/>
  <c r="A128" i="25"/>
  <c r="AA127" i="25"/>
  <c r="B127" i="25"/>
  <c r="A127" i="25"/>
  <c r="AA126" i="25"/>
  <c r="B126" i="25"/>
  <c r="A126" i="25"/>
  <c r="AA125" i="25"/>
  <c r="B125" i="25"/>
  <c r="A125" i="25"/>
  <c r="AA124" i="25"/>
  <c r="B124" i="25"/>
  <c r="A124" i="25"/>
  <c r="AA123" i="25"/>
  <c r="B123" i="25"/>
  <c r="A123" i="25"/>
  <c r="AA122" i="25"/>
  <c r="B122" i="25"/>
  <c r="A122" i="25"/>
  <c r="AA121" i="25"/>
  <c r="B121" i="25"/>
  <c r="A121" i="25"/>
  <c r="AA120" i="25"/>
  <c r="B120" i="25"/>
  <c r="A120" i="25"/>
  <c r="AA119" i="25"/>
  <c r="B119" i="25"/>
  <c r="A119" i="25"/>
  <c r="AA118" i="25"/>
  <c r="B118" i="25"/>
  <c r="A118" i="25"/>
  <c r="AA117" i="25"/>
  <c r="B117" i="25"/>
  <c r="A117" i="25"/>
  <c r="AA116" i="25"/>
  <c r="B116" i="25"/>
  <c r="A116" i="25"/>
  <c r="AA115" i="25"/>
  <c r="B115" i="25"/>
  <c r="A115" i="25"/>
  <c r="AA114" i="25"/>
  <c r="B114" i="25"/>
  <c r="A114" i="25"/>
  <c r="AA113" i="25"/>
  <c r="B113" i="25"/>
  <c r="A113" i="25"/>
  <c r="AA112" i="25"/>
  <c r="B112" i="25"/>
  <c r="A112" i="25"/>
  <c r="AA111" i="25"/>
  <c r="B111" i="25"/>
  <c r="A111" i="25"/>
  <c r="AA110" i="25"/>
  <c r="B110" i="25"/>
  <c r="A110" i="25"/>
  <c r="AA109" i="25"/>
  <c r="B109" i="25"/>
  <c r="A109" i="25"/>
  <c r="AA108" i="25"/>
  <c r="B108" i="25"/>
  <c r="A108" i="25"/>
  <c r="AA107" i="25"/>
  <c r="B107" i="25"/>
  <c r="A107" i="25"/>
  <c r="AA106" i="25"/>
  <c r="B106" i="25"/>
  <c r="A106" i="25"/>
  <c r="AA105" i="25"/>
  <c r="B105" i="25"/>
  <c r="A105" i="25"/>
  <c r="AA103" i="25"/>
  <c r="B103" i="25"/>
  <c r="A103" i="25"/>
  <c r="AA102" i="25"/>
  <c r="B102" i="25"/>
  <c r="A102" i="25"/>
  <c r="AA101" i="25"/>
  <c r="B101" i="25"/>
  <c r="A101" i="25"/>
  <c r="AA100" i="25"/>
  <c r="B100" i="25"/>
  <c r="A100" i="25"/>
  <c r="AA99" i="25"/>
  <c r="B99" i="25"/>
  <c r="A99" i="25"/>
  <c r="AA98" i="25"/>
  <c r="B98" i="25"/>
  <c r="A98" i="25"/>
  <c r="AA97" i="25"/>
  <c r="B97" i="25"/>
  <c r="A97" i="25"/>
  <c r="AA96" i="25"/>
  <c r="B96" i="25"/>
  <c r="A96" i="25"/>
  <c r="AA95" i="25"/>
  <c r="B95" i="25"/>
  <c r="A95" i="25"/>
  <c r="AA94" i="25"/>
  <c r="B94" i="25"/>
  <c r="A94" i="25"/>
  <c r="AA93" i="25"/>
  <c r="B93" i="25"/>
  <c r="A93" i="25"/>
  <c r="AA92" i="25"/>
  <c r="B92" i="25"/>
  <c r="A92" i="25"/>
  <c r="AA91" i="25"/>
  <c r="B91" i="25"/>
  <c r="A91" i="25"/>
  <c r="AA90" i="25"/>
  <c r="B90" i="25"/>
  <c r="A90" i="25"/>
  <c r="AA89" i="25"/>
  <c r="B89" i="25"/>
  <c r="A89" i="25"/>
  <c r="AA88" i="25"/>
  <c r="B88" i="25"/>
  <c r="A88" i="25"/>
  <c r="AA87" i="25"/>
  <c r="B87" i="25"/>
  <c r="A87" i="25"/>
  <c r="AA86" i="25"/>
  <c r="B86" i="25"/>
  <c r="A86" i="25"/>
  <c r="AA85" i="25"/>
  <c r="B85" i="25"/>
  <c r="A85" i="25"/>
  <c r="AA84" i="25"/>
  <c r="B84" i="25"/>
  <c r="A84" i="25"/>
  <c r="AA83" i="25"/>
  <c r="B83" i="25"/>
  <c r="A83" i="25"/>
  <c r="AA82" i="25"/>
  <c r="B82" i="25"/>
  <c r="A82" i="25"/>
  <c r="AA81" i="25"/>
  <c r="B81" i="25"/>
  <c r="A81" i="25"/>
  <c r="AA80" i="25"/>
  <c r="B80" i="25"/>
  <c r="A80" i="25"/>
  <c r="AA79" i="25"/>
  <c r="B79" i="25"/>
  <c r="A79" i="25"/>
  <c r="AA78" i="25"/>
  <c r="B78" i="25"/>
  <c r="A78" i="25"/>
  <c r="AA77" i="25"/>
  <c r="B77" i="25"/>
  <c r="A77" i="25"/>
  <c r="AA76" i="25"/>
  <c r="B76" i="25"/>
  <c r="A76" i="25"/>
  <c r="AA75" i="25"/>
  <c r="B75" i="25"/>
  <c r="A75" i="25"/>
  <c r="AA74" i="25"/>
  <c r="B74" i="25"/>
  <c r="A74" i="25"/>
  <c r="AA73" i="25"/>
  <c r="B73" i="25"/>
  <c r="A73" i="25"/>
  <c r="AA72" i="25"/>
  <c r="B72" i="25"/>
  <c r="A72" i="25"/>
  <c r="AA71" i="25"/>
  <c r="B71" i="25"/>
  <c r="A71" i="25"/>
  <c r="AA70" i="25"/>
  <c r="B70" i="25"/>
  <c r="A70" i="25"/>
  <c r="AA69" i="25"/>
  <c r="B69" i="25"/>
  <c r="A69" i="25"/>
  <c r="AA68" i="25"/>
  <c r="B68" i="25"/>
  <c r="A68" i="25"/>
  <c r="AA67" i="25"/>
  <c r="B67" i="25"/>
  <c r="A67" i="25"/>
  <c r="AA66" i="25"/>
  <c r="B66" i="25"/>
  <c r="A66" i="25"/>
  <c r="AA65" i="25"/>
  <c r="B65" i="25"/>
  <c r="A65" i="25"/>
  <c r="AA64" i="25"/>
  <c r="B64" i="25"/>
  <c r="A64" i="25"/>
  <c r="AA63" i="25"/>
  <c r="B63" i="25"/>
  <c r="A63" i="25"/>
  <c r="AA62" i="25"/>
  <c r="B62" i="25"/>
  <c r="A62" i="25"/>
  <c r="AA61" i="25"/>
  <c r="B61" i="25"/>
  <c r="A61" i="25"/>
  <c r="AA60" i="25"/>
  <c r="B60" i="25"/>
  <c r="A60" i="25"/>
  <c r="AA59" i="25"/>
  <c r="B59" i="25"/>
  <c r="A59" i="25"/>
  <c r="AA58" i="25"/>
  <c r="B58" i="25"/>
  <c r="A58" i="25"/>
  <c r="AA57" i="25"/>
  <c r="B57" i="25"/>
  <c r="A57" i="25"/>
  <c r="AA56" i="25"/>
  <c r="B56" i="25"/>
  <c r="A56" i="25"/>
  <c r="AA55" i="25"/>
  <c r="B55" i="25"/>
  <c r="A55" i="25"/>
  <c r="AA54" i="25"/>
  <c r="B54" i="25"/>
  <c r="A54" i="25"/>
  <c r="AA53" i="25"/>
  <c r="B53" i="25"/>
  <c r="A53" i="25"/>
  <c r="AA52" i="25"/>
  <c r="B52" i="25"/>
  <c r="A52" i="25"/>
  <c r="AA51" i="25"/>
  <c r="B51" i="25"/>
  <c r="A51" i="25"/>
  <c r="AA50" i="25"/>
  <c r="B50" i="25"/>
  <c r="A50" i="25"/>
  <c r="AA49" i="25"/>
  <c r="B49" i="25"/>
  <c r="A49" i="25"/>
  <c r="AA48" i="25"/>
  <c r="B48" i="25"/>
  <c r="A48" i="25"/>
  <c r="AA47" i="25"/>
  <c r="B47" i="25"/>
  <c r="A47" i="25"/>
  <c r="AA46" i="25"/>
  <c r="B46" i="25"/>
  <c r="A46" i="25"/>
  <c r="AA45" i="25"/>
  <c r="B45" i="25"/>
  <c r="A45" i="25"/>
  <c r="AA44" i="25"/>
  <c r="B44" i="25"/>
  <c r="A44" i="25"/>
  <c r="AA43" i="25"/>
  <c r="B43" i="25"/>
  <c r="A43" i="25"/>
  <c r="AA42" i="25"/>
  <c r="B42" i="25"/>
  <c r="A42" i="25"/>
  <c r="AA41" i="25"/>
  <c r="B41" i="25"/>
  <c r="A41" i="25"/>
  <c r="AA40" i="25"/>
  <c r="B40" i="25"/>
  <c r="A40" i="25"/>
  <c r="AA39" i="25"/>
  <c r="B39" i="25"/>
  <c r="A39" i="25"/>
  <c r="AA38" i="25"/>
  <c r="B38" i="25"/>
  <c r="A38" i="25"/>
  <c r="AA37" i="25"/>
  <c r="B37" i="25"/>
  <c r="A37" i="25"/>
  <c r="AA36" i="25"/>
  <c r="B36" i="25"/>
  <c r="A36" i="25"/>
  <c r="AA35" i="25"/>
  <c r="B35" i="25"/>
  <c r="A35" i="25"/>
  <c r="AA34" i="25"/>
  <c r="B34" i="25"/>
  <c r="A34" i="25"/>
  <c r="AA33" i="25"/>
  <c r="B33" i="25"/>
  <c r="A33" i="25"/>
  <c r="AA32" i="25"/>
  <c r="B32" i="25"/>
  <c r="A32" i="25"/>
  <c r="AA31" i="25"/>
  <c r="B31" i="25"/>
  <c r="A31" i="25"/>
  <c r="AA30" i="25"/>
  <c r="B30" i="25"/>
  <c r="A30" i="25"/>
  <c r="AA29" i="25"/>
  <c r="B29" i="25"/>
  <c r="A29" i="25"/>
  <c r="AA28" i="25"/>
  <c r="B28" i="25"/>
  <c r="A28" i="25"/>
  <c r="AA27" i="25"/>
  <c r="B27" i="25"/>
  <c r="A27" i="25"/>
  <c r="AA26" i="25"/>
  <c r="B26" i="25"/>
  <c r="A26" i="25"/>
  <c r="Q25" i="25"/>
  <c r="AA24" i="25"/>
  <c r="B24" i="25"/>
  <c r="A24" i="25"/>
  <c r="AA23" i="25"/>
  <c r="B23" i="25"/>
  <c r="A23" i="25"/>
  <c r="AA22" i="25"/>
  <c r="B22" i="25"/>
  <c r="A22" i="25"/>
  <c r="AA21" i="25"/>
  <c r="B21" i="25"/>
  <c r="A21" i="25"/>
  <c r="AA20" i="25"/>
  <c r="B20" i="25"/>
  <c r="A20" i="25"/>
  <c r="AA19" i="25"/>
  <c r="B19" i="25"/>
  <c r="A19" i="25"/>
  <c r="AA18" i="25"/>
  <c r="B18" i="25"/>
  <c r="A18" i="25"/>
  <c r="AA17" i="25"/>
  <c r="B17" i="25"/>
  <c r="A17" i="25"/>
  <c r="AA16" i="25"/>
  <c r="B16" i="25"/>
  <c r="A16" i="25"/>
  <c r="AA15" i="25"/>
  <c r="B15" i="25"/>
  <c r="A15" i="25"/>
  <c r="AA14" i="25"/>
  <c r="B14" i="25"/>
  <c r="A14" i="25"/>
  <c r="AA13" i="25"/>
  <c r="B13" i="25"/>
  <c r="A13" i="25"/>
  <c r="AA12" i="25"/>
  <c r="B12" i="25"/>
  <c r="A12" i="25"/>
  <c r="AA11" i="25"/>
  <c r="B11" i="25"/>
  <c r="A11" i="25"/>
  <c r="AA10" i="25"/>
  <c r="B10" i="25"/>
  <c r="A10" i="25"/>
  <c r="AA9" i="25"/>
  <c r="B9" i="25"/>
  <c r="A9" i="25"/>
  <c r="AA8" i="25"/>
  <c r="B8" i="25"/>
  <c r="A8" i="25"/>
  <c r="AA7" i="25"/>
  <c r="B7" i="25"/>
  <c r="A7" i="25"/>
  <c r="AA6" i="25"/>
  <c r="B6" i="25"/>
  <c r="A6" i="25"/>
  <c r="AA5" i="25"/>
  <c r="B5" i="25"/>
  <c r="A5" i="25"/>
  <c r="AA4" i="25"/>
  <c r="B4" i="25"/>
  <c r="A4" i="25"/>
  <c r="AA3" i="25"/>
  <c r="B3" i="25"/>
  <c r="A3" i="25"/>
  <c r="AA2" i="25"/>
  <c r="B2" i="25"/>
  <c r="A2" i="25"/>
  <c r="J12" i="2" l="1"/>
  <c r="J28" i="2"/>
  <c r="J60" i="2"/>
  <c r="D102" i="2"/>
  <c r="J44" i="2"/>
  <c r="J76" i="2"/>
  <c r="J100" i="2"/>
  <c r="J108" i="2"/>
  <c r="J116" i="2"/>
  <c r="J132" i="2"/>
  <c r="J140" i="2"/>
  <c r="J148" i="2"/>
  <c r="J20" i="2"/>
  <c r="J36" i="2"/>
  <c r="J52" i="2"/>
  <c r="J68" i="2"/>
  <c r="J84" i="2"/>
  <c r="F6" i="2"/>
  <c r="F26" i="2"/>
  <c r="D34" i="2"/>
  <c r="F48" i="2"/>
  <c r="E63" i="2"/>
  <c r="F70" i="2"/>
  <c r="D86" i="2"/>
  <c r="E93" i="2"/>
  <c r="F98" i="2"/>
  <c r="D106" i="2"/>
  <c r="D8" i="2"/>
  <c r="E15" i="2"/>
  <c r="F22" i="2"/>
  <c r="D30" i="2"/>
  <c r="E37" i="2"/>
  <c r="F42" i="2"/>
  <c r="D50" i="2"/>
  <c r="E57" i="2"/>
  <c r="F64" i="2"/>
  <c r="D72" i="2"/>
  <c r="E87" i="2"/>
  <c r="F94" i="2"/>
  <c r="D146" i="2"/>
  <c r="F138" i="2"/>
  <c r="E137" i="2"/>
  <c r="E133" i="2"/>
  <c r="E127" i="2"/>
  <c r="E113" i="2"/>
  <c r="F110" i="2"/>
  <c r="E143" i="2"/>
  <c r="F134" i="2"/>
  <c r="F128" i="2"/>
  <c r="F114" i="2"/>
  <c r="E109" i="2"/>
  <c r="F144" i="2"/>
  <c r="D142" i="2"/>
  <c r="D136" i="2"/>
  <c r="D130" i="2"/>
  <c r="D126" i="2"/>
  <c r="D112" i="2"/>
  <c r="E21" i="2"/>
  <c r="D56" i="2"/>
  <c r="E9" i="2"/>
  <c r="F16" i="2"/>
  <c r="D24" i="2"/>
  <c r="E31" i="2"/>
  <c r="F38" i="2"/>
  <c r="D46" i="2"/>
  <c r="E53" i="2"/>
  <c r="F58" i="2"/>
  <c r="D66" i="2"/>
  <c r="E73" i="2"/>
  <c r="F88" i="2"/>
  <c r="D96" i="2"/>
  <c r="E103" i="2"/>
  <c r="D14" i="2"/>
  <c r="E41" i="2"/>
  <c r="F145" i="2"/>
  <c r="E5" i="2"/>
  <c r="F10" i="2"/>
  <c r="D18" i="2"/>
  <c r="E25" i="2"/>
  <c r="F32" i="2"/>
  <c r="D40" i="2"/>
  <c r="E47" i="2"/>
  <c r="F54" i="2"/>
  <c r="D62" i="2"/>
  <c r="E69" i="2"/>
  <c r="F74" i="2"/>
  <c r="D90" i="2"/>
  <c r="E97" i="2"/>
  <c r="F104" i="2"/>
  <c r="F5" i="2"/>
  <c r="D7" i="2"/>
  <c r="E8" i="2"/>
  <c r="F9" i="2"/>
  <c r="D13" i="2"/>
  <c r="E14" i="2"/>
  <c r="F15" i="2"/>
  <c r="D17" i="2"/>
  <c r="E18" i="2"/>
  <c r="F21" i="2"/>
  <c r="D23" i="2"/>
  <c r="E24" i="2"/>
  <c r="F25" i="2"/>
  <c r="D29" i="2"/>
  <c r="E30" i="2"/>
  <c r="F31" i="2"/>
  <c r="D33" i="2"/>
  <c r="E34" i="2"/>
  <c r="F37" i="2"/>
  <c r="D39" i="2"/>
  <c r="E40" i="2"/>
  <c r="F41" i="2"/>
  <c r="D45" i="2"/>
  <c r="E46" i="2"/>
  <c r="F47" i="2"/>
  <c r="D49" i="2"/>
  <c r="E50" i="2"/>
  <c r="F53" i="2"/>
  <c r="D55" i="2"/>
  <c r="E56" i="2"/>
  <c r="F57" i="2"/>
  <c r="D61" i="2"/>
  <c r="E62" i="2"/>
  <c r="F63" i="2"/>
  <c r="D65" i="2"/>
  <c r="E66" i="2"/>
  <c r="F69" i="2"/>
  <c r="D71" i="2"/>
  <c r="E72" i="2"/>
  <c r="F73" i="2"/>
  <c r="D85" i="2"/>
  <c r="E86" i="2"/>
  <c r="F87" i="2"/>
  <c r="D89" i="2"/>
  <c r="E90" i="2"/>
  <c r="F93" i="2"/>
  <c r="D95" i="2"/>
  <c r="E96" i="2"/>
  <c r="F97" i="2"/>
  <c r="D101" i="2"/>
  <c r="E102" i="2"/>
  <c r="F103" i="2"/>
  <c r="D105" i="2"/>
  <c r="E106" i="2"/>
  <c r="F109" i="2"/>
  <c r="D111" i="2"/>
  <c r="E112" i="2"/>
  <c r="F113" i="2"/>
  <c r="D125" i="2"/>
  <c r="E126" i="2"/>
  <c r="F127" i="2"/>
  <c r="D129" i="2"/>
  <c r="E130" i="2"/>
  <c r="F133" i="2"/>
  <c r="D135" i="2"/>
  <c r="E136" i="2"/>
  <c r="F137" i="2"/>
  <c r="D141" i="2"/>
  <c r="E142" i="2"/>
  <c r="F143" i="2"/>
  <c r="D145" i="2"/>
  <c r="E146" i="2"/>
  <c r="D6" i="2"/>
  <c r="E7" i="2"/>
  <c r="F8" i="2"/>
  <c r="D10" i="2"/>
  <c r="E13" i="2"/>
  <c r="F14" i="2"/>
  <c r="D16" i="2"/>
  <c r="E17" i="2"/>
  <c r="F18" i="2"/>
  <c r="D22" i="2"/>
  <c r="E23" i="2"/>
  <c r="F24" i="2"/>
  <c r="D26" i="2"/>
  <c r="E29" i="2"/>
  <c r="F30" i="2"/>
  <c r="D32" i="2"/>
  <c r="E33" i="2"/>
  <c r="F34" i="2"/>
  <c r="D38" i="2"/>
  <c r="E39" i="2"/>
  <c r="F40" i="2"/>
  <c r="D42" i="2"/>
  <c r="E45" i="2"/>
  <c r="F46" i="2"/>
  <c r="D48" i="2"/>
  <c r="E49" i="2"/>
  <c r="F50" i="2"/>
  <c r="D54" i="2"/>
  <c r="E55" i="2"/>
  <c r="F56" i="2"/>
  <c r="D58" i="2"/>
  <c r="E61" i="2"/>
  <c r="F62" i="2"/>
  <c r="D64" i="2"/>
  <c r="E65" i="2"/>
  <c r="F66" i="2"/>
  <c r="D70" i="2"/>
  <c r="E71" i="2"/>
  <c r="F72" i="2"/>
  <c r="D74" i="2"/>
  <c r="E85" i="2"/>
  <c r="F86" i="2"/>
  <c r="D88" i="2"/>
  <c r="E89" i="2"/>
  <c r="F90" i="2"/>
  <c r="D94" i="2"/>
  <c r="E95" i="2"/>
  <c r="F96" i="2"/>
  <c r="D98" i="2"/>
  <c r="E101" i="2"/>
  <c r="F102" i="2"/>
  <c r="D104" i="2"/>
  <c r="E105" i="2"/>
  <c r="F106" i="2"/>
  <c r="D110" i="2"/>
  <c r="E111" i="2"/>
  <c r="F112" i="2"/>
  <c r="D114" i="2"/>
  <c r="E125" i="2"/>
  <c r="F126" i="2"/>
  <c r="D128" i="2"/>
  <c r="E129" i="2"/>
  <c r="F130" i="2"/>
  <c r="D134" i="2"/>
  <c r="E135" i="2"/>
  <c r="F136" i="2"/>
  <c r="D138" i="2"/>
  <c r="E141" i="2"/>
  <c r="F142" i="2"/>
  <c r="D144" i="2"/>
  <c r="E145" i="2"/>
  <c r="F146" i="2"/>
  <c r="D5" i="2"/>
  <c r="E6" i="2"/>
  <c r="F7" i="2"/>
  <c r="D9" i="2"/>
  <c r="E10" i="2"/>
  <c r="F13" i="2"/>
  <c r="D15" i="2"/>
  <c r="E16" i="2"/>
  <c r="F17" i="2"/>
  <c r="D21" i="2"/>
  <c r="E22" i="2"/>
  <c r="F23" i="2"/>
  <c r="D25" i="2"/>
  <c r="E26" i="2"/>
  <c r="F29" i="2"/>
  <c r="D31" i="2"/>
  <c r="E32" i="2"/>
  <c r="F33" i="2"/>
  <c r="D37" i="2"/>
  <c r="E38" i="2"/>
  <c r="F39" i="2"/>
  <c r="D41" i="2"/>
  <c r="E42" i="2"/>
  <c r="F45" i="2"/>
  <c r="D47" i="2"/>
  <c r="E48" i="2"/>
  <c r="F49" i="2"/>
  <c r="D53" i="2"/>
  <c r="E54" i="2"/>
  <c r="F55" i="2"/>
  <c r="D57" i="2"/>
  <c r="E58" i="2"/>
  <c r="F61" i="2"/>
  <c r="D63" i="2"/>
  <c r="E64" i="2"/>
  <c r="F65" i="2"/>
  <c r="D69" i="2"/>
  <c r="E70" i="2"/>
  <c r="F71" i="2"/>
  <c r="D73" i="2"/>
  <c r="E74" i="2"/>
  <c r="F85" i="2"/>
  <c r="D87" i="2"/>
  <c r="E88" i="2"/>
  <c r="F89" i="2"/>
  <c r="D93" i="2"/>
  <c r="E94" i="2"/>
  <c r="F95" i="2"/>
  <c r="D97" i="2"/>
  <c r="E98" i="2"/>
  <c r="F101" i="2"/>
  <c r="D103" i="2"/>
  <c r="E104" i="2"/>
  <c r="F105" i="2"/>
  <c r="D109" i="2"/>
  <c r="E110" i="2"/>
  <c r="F111" i="2"/>
  <c r="D113" i="2"/>
  <c r="E114" i="2"/>
  <c r="F125" i="2"/>
  <c r="D127" i="2"/>
  <c r="E128" i="2"/>
  <c r="F129" i="2"/>
  <c r="D133" i="2"/>
  <c r="E134" i="2"/>
  <c r="F135" i="2"/>
  <c r="D137" i="2"/>
  <c r="E138" i="2"/>
  <c r="F141" i="2"/>
  <c r="D143" i="2"/>
  <c r="E144" i="2"/>
</calcChain>
</file>

<file path=xl/sharedStrings.xml><?xml version="1.0" encoding="utf-8"?>
<sst xmlns="http://schemas.openxmlformats.org/spreadsheetml/2006/main" count="40680" uniqueCount="11831">
  <si>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</si>
  <si>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</si>
  <si>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</si>
  <si>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</si>
  <si>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</si>
  <si>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</si>
  <si>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</si>
  <si>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</si>
  <si>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</si>
  <si>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</si>
  <si>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</si>
  <si>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</si>
  <si>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</si>
  <si>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</si>
  <si>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</si>
  <si>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</si>
  <si>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</si>
  <si>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</si>
  <si>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</si>
  <si>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</si>
  <si>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</si>
  <si>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</si>
  <si>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</si>
  <si>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</si>
  <si>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</si>
  <si>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</si>
  <si>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</si>
  <si>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</si>
  <si>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Partner Information</t>
  </si>
  <si>
    <t>INSERT ROWS ABOVE FOR ADDITIONAL PARTNERS IN THIS CATEGORY - DO NOT ENTER DATA IN THIS ROW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</si>
  <si>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</si>
  <si>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</si>
  <si>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</si>
  <si>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</si>
  <si>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</si>
  <si>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</si>
  <si>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</si>
  <si>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DSRIP Provider Name</t>
  </si>
  <si>
    <t>Entity ID</t>
  </si>
  <si>
    <t>Entity Name</t>
  </si>
  <si>
    <t>NPI ID</t>
  </si>
  <si>
    <t>MMIS ID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</si>
  <si>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</si>
  <si>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</si>
  <si>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</si>
  <si>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</si>
  <si>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</si>
  <si>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</si>
  <si>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</si>
  <si>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</si>
  <si>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</si>
  <si>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</si>
  <si>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</si>
  <si>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</si>
  <si>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</si>
  <si>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</si>
  <si>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</si>
  <si>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</si>
  <si>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</si>
  <si>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</si>
  <si>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</si>
  <si>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</si>
  <si>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</si>
  <si>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</si>
  <si>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</si>
  <si>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</si>
  <si>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</si>
  <si>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</si>
  <si>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</si>
  <si>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</si>
  <si>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</si>
  <si>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Practitioner - Non-Primary Care Provider (PCP)</t>
  </si>
  <si>
    <t>No</t>
  </si>
  <si>
    <t>NY</t>
  </si>
  <si>
    <t>PHYSICIAN</t>
  </si>
  <si>
    <t>M</t>
  </si>
  <si>
    <t>MMIS</t>
  </si>
  <si>
    <t>P</t>
  </si>
  <si>
    <t>DENTIST</t>
  </si>
  <si>
    <t>All Other:: Practitioner - Non-Primary Care Provider (PCP)</t>
  </si>
  <si>
    <t>All Other:: Practitioner - Primary Care Provider (PCP)</t>
  </si>
  <si>
    <t>Yes</t>
  </si>
  <si>
    <t>ELMHURST</t>
  </si>
  <si>
    <t>MULTI-TYPE</t>
  </si>
  <si>
    <t>Practitioner - Primary Care Provider (PCP)</t>
  </si>
  <si>
    <t>ALBANY</t>
  </si>
  <si>
    <t>HOSPITAL</t>
  </si>
  <si>
    <t>NEW YORK</t>
  </si>
  <si>
    <t>HOME HEALTH AGENCY</t>
  </si>
  <si>
    <t>Unknown</t>
  </si>
  <si>
    <t>CBO</t>
  </si>
  <si>
    <t>No NPI or MMIS</t>
  </si>
  <si>
    <t>Uncategorized</t>
  </si>
  <si>
    <t>NPI only</t>
  </si>
  <si>
    <t>NYS OFFICE OF MENTAL HEALTH</t>
  </si>
  <si>
    <t>All Other:: Mental Health</t>
  </si>
  <si>
    <t>Mental Health:: Practitioner - Non-Primary Care Provider (PCP)</t>
  </si>
  <si>
    <t>All Other:: Nursing Home</t>
  </si>
  <si>
    <t>LONG TERM CARE FACILITY</t>
  </si>
  <si>
    <t>OPTOMETRIST</t>
  </si>
  <si>
    <t>THERAPIST</t>
  </si>
  <si>
    <t>SUPERVISED</t>
  </si>
  <si>
    <t>Community Advocacy and Support</t>
  </si>
  <si>
    <t>GROUP DAY HAB</t>
  </si>
  <si>
    <t>CLINICAL SOCIAL WORKER (CSW)</t>
  </si>
  <si>
    <t>NURSE</t>
  </si>
  <si>
    <t>All Other:: Clinic</t>
  </si>
  <si>
    <t>All Other:: Substance Abuse</t>
  </si>
  <si>
    <t>OAS CL</t>
  </si>
  <si>
    <t>DIAGNOSTIC AND TREATMENT CENTER</t>
  </si>
  <si>
    <t>MA</t>
  </si>
  <si>
    <t>ROCHESTER</t>
  </si>
  <si>
    <t>PHYSICIANS GROUP</t>
  </si>
  <si>
    <t>PODIATRIST</t>
  </si>
  <si>
    <t>BRONX</t>
  </si>
  <si>
    <t>PHARMACY</t>
  </si>
  <si>
    <t>CHILD CARE INSTITUTION</t>
  </si>
  <si>
    <t>BUFFALO</t>
  </si>
  <si>
    <t>MEDICAL APPLIANCE DEALER</t>
  </si>
  <si>
    <t>MULTI-TYPE GROUP</t>
  </si>
  <si>
    <t>SYRACUSE</t>
  </si>
  <si>
    <t>All Other:: Mental Health:: Practitioner - Non-Primary Care Provider (PCP)</t>
  </si>
  <si>
    <t>All Other:: Mental Health:: Substance Abuse</t>
  </si>
  <si>
    <t>ON GROUNDS</t>
  </si>
  <si>
    <t>All Other:: Clinic:: Hospital</t>
  </si>
  <si>
    <t>All Other:: Clinic:: Hospital:: Mental Health</t>
  </si>
  <si>
    <t>All Other:: Hospice</t>
  </si>
  <si>
    <t>POUGHKEEPSIE</t>
  </si>
  <si>
    <t>STATEN ISLAND</t>
  </si>
  <si>
    <t>NJ</t>
  </si>
  <si>
    <t>L</t>
  </si>
  <si>
    <t>300 COMMUNITY DR</t>
  </si>
  <si>
    <t>MANHASSET</t>
  </si>
  <si>
    <t>EAST MEADOW</t>
  </si>
  <si>
    <t>NASSAU CTY MED CTR</t>
  </si>
  <si>
    <t>All Other:: Case Management / Health Home:: Clinic</t>
  </si>
  <si>
    <t>Physician</t>
  </si>
  <si>
    <t>STONY BROOK</t>
  </si>
  <si>
    <t>100 NICOLLS RD</t>
  </si>
  <si>
    <t>All Other:: Case Management / Health Home:: Mental Health:: Substance Abuse</t>
  </si>
  <si>
    <t>ROCKVILLE CENTRE</t>
  </si>
  <si>
    <t>396 BROADWAY</t>
  </si>
  <si>
    <t>KINGSTON</t>
  </si>
  <si>
    <t>SYOSSET</t>
  </si>
  <si>
    <t>111 E 210TH ST</t>
  </si>
  <si>
    <t>221 JERICHO TPKE</t>
  </si>
  <si>
    <t>LAKEWOOD</t>
  </si>
  <si>
    <t>FL</t>
  </si>
  <si>
    <t>Non-PPS Network</t>
  </si>
  <si>
    <t>WORCESTER</t>
  </si>
  <si>
    <t>Rochester</t>
  </si>
  <si>
    <t>KY</t>
  </si>
  <si>
    <t>All Other:: Case Management / Health Home:: Mental Health</t>
  </si>
  <si>
    <t>OH</t>
  </si>
  <si>
    <t>SINGH AMARJIT DR.</t>
  </si>
  <si>
    <t>SINGH AMARJIT MD</t>
  </si>
  <si>
    <t>5 E 98TH ST FL 14</t>
  </si>
  <si>
    <t>Local Government Unit (LGU)/Single Point of Access (SPOA)</t>
  </si>
  <si>
    <t>STE 10</t>
  </si>
  <si>
    <t>AHMED MOHAMED</t>
  </si>
  <si>
    <t>AHMED MOHAMED DR.</t>
  </si>
  <si>
    <t>STE 202</t>
  </si>
  <si>
    <t>STE A</t>
  </si>
  <si>
    <t>Pharmacy:: Practitioner - Non-Primary Care Provider (PCP)</t>
  </si>
  <si>
    <t>565 ABBOTT RD RM 8-632</t>
  </si>
  <si>
    <t>1101 NOTT ST</t>
  </si>
  <si>
    <t>SCHENECTADY</t>
  </si>
  <si>
    <t>MEDICAL COL PHY GRP</t>
  </si>
  <si>
    <t>ELMIRA</t>
  </si>
  <si>
    <t>3 GATES CIR</t>
  </si>
  <si>
    <t>Case Management / Health Home:: Mental Health</t>
  </si>
  <si>
    <t>Colleen Savage</t>
  </si>
  <si>
    <t>COOPERSTOWN</t>
  </si>
  <si>
    <t>219 BRYANT ST</t>
  </si>
  <si>
    <t>601 ELMWOOD AVE</t>
  </si>
  <si>
    <t>STE 201</t>
  </si>
  <si>
    <t>STE 200</t>
  </si>
  <si>
    <t>PA</t>
  </si>
  <si>
    <t>SMITH THOMAS DR.</t>
  </si>
  <si>
    <t>CONTI DAVID DR.</t>
  </si>
  <si>
    <t>STE 301</t>
  </si>
  <si>
    <t>STE 1</t>
  </si>
  <si>
    <t>STE 100</t>
  </si>
  <si>
    <t>STE 203</t>
  </si>
  <si>
    <t>UTICA</t>
  </si>
  <si>
    <t>100 JOHN ROEMMELT DR</t>
  </si>
  <si>
    <t>HORSEHEADS</t>
  </si>
  <si>
    <t>5300 MILITARY RD</t>
  </si>
  <si>
    <t>LEWISTON</t>
  </si>
  <si>
    <t>SUPPORTIVE</t>
  </si>
  <si>
    <t>REGION-OUTSIDE NYC</t>
  </si>
  <si>
    <t>VT</t>
  </si>
  <si>
    <t>2211 GENESEE ST</t>
  </si>
  <si>
    <t>Bruce Gendron</t>
  </si>
  <si>
    <t>bgendron@romerehab.net</t>
  </si>
  <si>
    <t>GOUVERNEUR</t>
  </si>
  <si>
    <t>WATERTOWN</t>
  </si>
  <si>
    <t>Education Support Services</t>
  </si>
  <si>
    <t>CT</t>
  </si>
  <si>
    <t>STE 310</t>
  </si>
  <si>
    <t>PITTSBURGH</t>
  </si>
  <si>
    <t>1425 PORTLAND AVE</t>
  </si>
  <si>
    <t>BROCKPORT</t>
  </si>
  <si>
    <t>STE 6</t>
  </si>
  <si>
    <t>ELM AND CARLTON ST</t>
  </si>
  <si>
    <t>609 CENTRAL AVE</t>
  </si>
  <si>
    <t>DUNKIRK</t>
  </si>
  <si>
    <t>REGION OUTSIDE NYC</t>
  </si>
  <si>
    <t>FSR 1</t>
  </si>
  <si>
    <t>NIAGARA FALLS</t>
  </si>
  <si>
    <t>STE 207</t>
  </si>
  <si>
    <t>1 PENN PLZ FL 7 STE 725</t>
  </si>
  <si>
    <t>77 W BARNEY ST</t>
  </si>
  <si>
    <t>Johanna Ambrose</t>
  </si>
  <si>
    <t>(800) 836-0475</t>
  </si>
  <si>
    <t>jambrose@compeer.org</t>
  </si>
  <si>
    <t>All Other:: Clinic:: Hospital:: Pharmacy:: Substance Abuse</t>
  </si>
  <si>
    <t>OLEAN</t>
  </si>
  <si>
    <t>NH</t>
  </si>
  <si>
    <t>85 HIGH ST</t>
  </si>
  <si>
    <t>1540 MAPLE RD</t>
  </si>
  <si>
    <t>WILLIAMSVILLE</t>
  </si>
  <si>
    <t>ONE ATWELL ROAD</t>
  </si>
  <si>
    <t>E0181566</t>
  </si>
  <si>
    <t>BUFFALO BEACON CORP</t>
  </si>
  <si>
    <t>(716) 831-1937</t>
  </si>
  <si>
    <t>BUFFALO BEACON CORPORATION</t>
  </si>
  <si>
    <t># 09/01/02</t>
  </si>
  <si>
    <t>AMHERST</t>
  </si>
  <si>
    <t>750 E ADAMS ST</t>
  </si>
  <si>
    <t>Youth Peer Advocacy and Training</t>
  </si>
  <si>
    <t>200 OHIO ST</t>
  </si>
  <si>
    <t>MEDINA</t>
  </si>
  <si>
    <t>MIDDLE ISLAND</t>
  </si>
  <si>
    <t>565 ABBOTT RD</t>
  </si>
  <si>
    <t>Psychosocial Rehabilitation</t>
  </si>
  <si>
    <t>jnicastro@beaconcenter.net</t>
  </si>
  <si>
    <t>WEST SENECA</t>
  </si>
  <si>
    <t>L WOERNER INC</t>
  </si>
  <si>
    <t>(585) 295-6481</t>
  </si>
  <si>
    <t>LOCKPORT</t>
  </si>
  <si>
    <t>320 PRATHER AVE</t>
  </si>
  <si>
    <t>JAMESTOWN</t>
  </si>
  <si>
    <t>100 HIGH ST</t>
  </si>
  <si>
    <t>E0340264</t>
  </si>
  <si>
    <t>SIDDIQUI BUDDER</t>
  </si>
  <si>
    <t>2605 HARLEM RD</t>
  </si>
  <si>
    <t>CHEEKTOWAGA</t>
  </si>
  <si>
    <t>120 GARDENVILLE PKWY W</t>
  </si>
  <si>
    <t>DAY TRT OMRDD</t>
  </si>
  <si>
    <t>515 MAIN ST</t>
  </si>
  <si>
    <t>All Other:: Clinic:: Hospital:: Pharmacy</t>
  </si>
  <si>
    <t>E0114886</t>
  </si>
  <si>
    <t>POLCARO JOSEPH MD</t>
  </si>
  <si>
    <t>POLCARO JOSEPH DR.</t>
  </si>
  <si>
    <t>1770 GRAND CONCOURSE STE IL</t>
  </si>
  <si>
    <t>All Other:: Clinic:: Hospital:: Substance Abuse</t>
  </si>
  <si>
    <t>DEPT OF ANESTHESIA</t>
  </si>
  <si>
    <t>521 EAST AVE</t>
  </si>
  <si>
    <t>IRVING</t>
  </si>
  <si>
    <t>E0342442</t>
  </si>
  <si>
    <t>POWELL JOHN WILLIAM</t>
  </si>
  <si>
    <t>POWELL JOHN</t>
  </si>
  <si>
    <t>E0004891</t>
  </si>
  <si>
    <t>HILLSIDE CHILDRENS CTR</t>
  </si>
  <si>
    <t>STE 105</t>
  </si>
  <si>
    <t>600 ROE AVE</t>
  </si>
  <si>
    <t>STE 300</t>
  </si>
  <si>
    <t>UCP ASSO OF NYS STATEN IS</t>
  </si>
  <si>
    <t>E0205030</t>
  </si>
  <si>
    <t>2324 FOREST AVE</t>
  </si>
  <si>
    <t>HILLSIDE CHILDRENS CENTER</t>
  </si>
  <si>
    <t>HILLSIDE CHLDRENS CENTER</t>
  </si>
  <si>
    <t>1183 MONROE AVE</t>
  </si>
  <si>
    <t>PENN YAN</t>
  </si>
  <si>
    <t>BUFFALO GENERAL HOSP</t>
  </si>
  <si>
    <t>ROBILLARD KRISTEN DR.</t>
  </si>
  <si>
    <t>LOUISVILLE</t>
  </si>
  <si>
    <t>STE 220</t>
  </si>
  <si>
    <t>KUMAR PRASANNA</t>
  </si>
  <si>
    <t>Self-Directed Services</t>
  </si>
  <si>
    <t>UNIV SURG ASSOC</t>
  </si>
  <si>
    <t>Elizabeth Zicari, RN, BSN, CENP</t>
  </si>
  <si>
    <t>All Other:: Clinic:: Hospital:: Mental Health:: Substance Abuse</t>
  </si>
  <si>
    <t>ROBINSON BARBARA</t>
  </si>
  <si>
    <t>DEPT SURG</t>
  </si>
  <si>
    <t>207 FOOTE AVE</t>
  </si>
  <si>
    <t>DAY TREATMENT OMR</t>
  </si>
  <si>
    <t>DEPT MEDICINE</t>
  </si>
  <si>
    <t>STE 2100</t>
  </si>
  <si>
    <t>RPCI CLIN PRAC PLAN</t>
  </si>
  <si>
    <t>144 GENESEE ST</t>
  </si>
  <si>
    <t>(315) 525-2948</t>
  </si>
  <si>
    <t>64 DAVISON CT</t>
  </si>
  <si>
    <t>SMITH MARY</t>
  </si>
  <si>
    <t>462 GRIDER ST</t>
  </si>
  <si>
    <t>LANCASTER</t>
  </si>
  <si>
    <t>E0091339</t>
  </si>
  <si>
    <t>NAMASSIVAYA NALINI J MD</t>
  </si>
  <si>
    <t>NAMASSIVAYA NALINI</t>
  </si>
  <si>
    <t>5305 MAIN ST</t>
  </si>
  <si>
    <t>2157 MAIN ST</t>
  </si>
  <si>
    <t>CLARENCE</t>
  </si>
  <si>
    <t>CLEVELAND</t>
  </si>
  <si>
    <t>ST JOSEPH HSP</t>
  </si>
  <si>
    <t>15 S MAIN ST STE 130</t>
  </si>
  <si>
    <t>HILLSIDE CHILDREN'S CENTER</t>
  </si>
  <si>
    <t>BATAVIA</t>
  </si>
  <si>
    <t>GENESEO</t>
  </si>
  <si>
    <t>435 E HENRIETTA RD</t>
  </si>
  <si>
    <t>127 NORTH ST</t>
  </si>
  <si>
    <t>WARSAW</t>
  </si>
  <si>
    <t>SPENCERPORT</t>
  </si>
  <si>
    <t>BAKER HALL,INC</t>
  </si>
  <si>
    <t>E0189732</t>
  </si>
  <si>
    <t>BAKER HALL</t>
  </si>
  <si>
    <t>650 RIDGE RD</t>
  </si>
  <si>
    <t>LACKAWANNA</t>
  </si>
  <si>
    <t>418 N MAIN ST</t>
  </si>
  <si>
    <t>800 CARTER ST</t>
  </si>
  <si>
    <t>CARLSON DAVID</t>
  </si>
  <si>
    <t>E0115732</t>
  </si>
  <si>
    <t>RUH RICHARD</t>
  </si>
  <si>
    <t>RUH RICHARD DR.</t>
  </si>
  <si>
    <t>RUH RICHARD JOSEPH</t>
  </si>
  <si>
    <t>3670  BENZING RD</t>
  </si>
  <si>
    <t>ORCHARD PARK</t>
  </si>
  <si>
    <t>34 E STATE ST</t>
  </si>
  <si>
    <t>MOUNT MORRIS</t>
  </si>
  <si>
    <t>(585) 492-5088</t>
  </si>
  <si>
    <t>E0133917</t>
  </si>
  <si>
    <t>CROSBY MABEL THERESA</t>
  </si>
  <si>
    <t>CROSBY MABEL DR.</t>
  </si>
  <si>
    <t>BUFFALO CARDIOLOGY</t>
  </si>
  <si>
    <t>E0057402</t>
  </si>
  <si>
    <t>BAKER KAREN MARGARET NP</t>
  </si>
  <si>
    <t>BAKER KAREN MRS.</t>
  </si>
  <si>
    <t>E0328744</t>
  </si>
  <si>
    <t>SARAH A GAMEL RPA-C</t>
  </si>
  <si>
    <t>ANDREWS SARAH</t>
  </si>
  <si>
    <t>GAMEL SARAH A RPA</t>
  </si>
  <si>
    <t>1850 BRIGHTON HENRIETTA TOWN LINE RD</t>
  </si>
  <si>
    <t>243 S MAIN ST</t>
  </si>
  <si>
    <t>ALBION</t>
  </si>
  <si>
    <t>2600 WILLIAM ST</t>
  </si>
  <si>
    <t>NEWFANE</t>
  </si>
  <si>
    <t>E0172592</t>
  </si>
  <si>
    <t>COGGIOLA PETER A</t>
  </si>
  <si>
    <t>COGGIOLA PETER MR.</t>
  </si>
  <si>
    <t>PHC/3326 CHURCH ST</t>
  </si>
  <si>
    <t>ALEXANDER</t>
  </si>
  <si>
    <t>SMITH LINDA</t>
  </si>
  <si>
    <t>MARTINEZ CARLOS DR.</t>
  </si>
  <si>
    <t>STRONG MEM HSP</t>
  </si>
  <si>
    <t>WESTFIELD</t>
  </si>
  <si>
    <t>E0351933</t>
  </si>
  <si>
    <t>BALDERMAN SOPHIA REBECCA</t>
  </si>
  <si>
    <t>BALDERMAN SOPHIA</t>
  </si>
  <si>
    <t>601 ELMWOOD AVE # 704</t>
  </si>
  <si>
    <t>CHILDRENS HSP BUFFAL</t>
  </si>
  <si>
    <t>4156 W MAIN STREET RD</t>
  </si>
  <si>
    <t>E0125981</t>
  </si>
  <si>
    <t>WINNICKI MICHAEL S MD</t>
  </si>
  <si>
    <t>WINNICKI MICHAEL</t>
  </si>
  <si>
    <t>281 MIDDLE COUNTRY RD</t>
  </si>
  <si>
    <t>TONAWANDA</t>
  </si>
  <si>
    <t>GULLICKSON DONALD</t>
  </si>
  <si>
    <t>2075 SCOTTSVILLE RD</t>
  </si>
  <si>
    <t>(716) 631-3555</t>
  </si>
  <si>
    <t>1275 DELAWARE AVE</t>
  </si>
  <si>
    <t>E0050026</t>
  </si>
  <si>
    <t>LUCAS STEFAN MD</t>
  </si>
  <si>
    <t>LUCAS STEFAN DR.</t>
  </si>
  <si>
    <t>ALDEN</t>
  </si>
  <si>
    <t>400 INTERNATIONAL DR</t>
  </si>
  <si>
    <t>MILLARD FILLMORE SUB</t>
  </si>
  <si>
    <t>DEPT OF FAMILY MED</t>
  </si>
  <si>
    <t>STE 240</t>
  </si>
  <si>
    <t>SALAMANCA</t>
  </si>
  <si>
    <t>189 E MAIN ST</t>
  </si>
  <si>
    <t>E0287298</t>
  </si>
  <si>
    <t>LISTER ANTHONY</t>
  </si>
  <si>
    <t>E0317846</t>
  </si>
  <si>
    <t>CARD TIFFANY ELIZABETH RPA-C</t>
  </si>
  <si>
    <t>CARD TIFFANY MRS.</t>
  </si>
  <si>
    <t>3925 SHERIDAN DR</t>
  </si>
  <si>
    <t>E0283526</t>
  </si>
  <si>
    <t>HALLIWELL KENNETH</t>
  </si>
  <si>
    <t>HALLIWELL KENNETH DR.</t>
  </si>
  <si>
    <t>HALLIWELL KENNETH GEORGE</t>
  </si>
  <si>
    <t>5320 MILITARY RD/STE 101</t>
  </si>
  <si>
    <t>445 TREMONT ST</t>
  </si>
  <si>
    <t>NORTH TONAWANDA</t>
  </si>
  <si>
    <t>3980 SHERIDAN DR</t>
  </si>
  <si>
    <t>Spectrum Human Services</t>
  </si>
  <si>
    <t>ERIE COUNTY SOUTH EAST CORP V</t>
  </si>
  <si>
    <t>Bruce Nisbet</t>
  </si>
  <si>
    <t>(716) 597-8336</t>
  </si>
  <si>
    <t>nisbetb@shswny.org</t>
  </si>
  <si>
    <t>58 W BUFFALO ST</t>
  </si>
  <si>
    <t>ROSWELL PARK PHYS PL</t>
  </si>
  <si>
    <t>Lockport</t>
  </si>
  <si>
    <t>All Other:: Case Management / Health Home:: Clinic:: Mental Health:: Substance Abuse</t>
  </si>
  <si>
    <t>E0341782</t>
  </si>
  <si>
    <t>CHAUTAUQUA COUNTY DEPARTMENT OF MH</t>
  </si>
  <si>
    <t>(716) 753-4104</t>
  </si>
  <si>
    <t>CHAUTAUQUA COUNTY DMH HEALTH HOMES</t>
  </si>
  <si>
    <t>7 N ERIE ST</t>
  </si>
  <si>
    <t>MAYVILLE</t>
  </si>
  <si>
    <t>Health Home Partners of WNY, LLC</t>
  </si>
  <si>
    <t>E0335619</t>
  </si>
  <si>
    <t>HEALTH HOME PARTNERS OF WNY LLC</t>
  </si>
  <si>
    <t>HEALTH HOME PARTNERS OF WESTERN NEW YORK</t>
  </si>
  <si>
    <t>227 THORN AVE</t>
  </si>
  <si>
    <t>Heritage Christian Services</t>
  </si>
  <si>
    <t>E0103989</t>
  </si>
  <si>
    <t>CAH HERITAGE CHRISTIAN SERVIC</t>
  </si>
  <si>
    <t>HERITAGE CHRISTIAN SERVICES INC</t>
  </si>
  <si>
    <t>349 W COMMERCIAL ST</t>
  </si>
  <si>
    <t>E ROCHESTER</t>
  </si>
  <si>
    <t>Southern Tier Pediatrics</t>
  </si>
  <si>
    <t>ST JEROME HOSPITAL</t>
  </si>
  <si>
    <t>E0078816</t>
  </si>
  <si>
    <t>PENDYALA PRASHANT MD</t>
  </si>
  <si>
    <t>PENDYALA PRASHANT</t>
  </si>
  <si>
    <t>Batavia</t>
  </si>
  <si>
    <t>Winship Community Residences, Inc. - Community Residences</t>
  </si>
  <si>
    <t>E0167246</t>
  </si>
  <si>
    <t>WINSHIP COMMUNITY RESID INC</t>
  </si>
  <si>
    <t>James M. Whalen, CFO</t>
  </si>
  <si>
    <t>(585) 719-3170</t>
  </si>
  <si>
    <t>jwhalen@depaul.org</t>
  </si>
  <si>
    <t>DEPAUL WINSHIP</t>
  </si>
  <si>
    <t>109 MARBURGER ST</t>
  </si>
  <si>
    <t>Warsaw</t>
  </si>
  <si>
    <t>KENMORE MERCY HOSP</t>
  </si>
  <si>
    <t>KENMORE</t>
  </si>
  <si>
    <t>104 MEMORIAL DR</t>
  </si>
  <si>
    <t>GOWANDA</t>
  </si>
  <si>
    <t>Hillside Family of Agencies</t>
  </si>
  <si>
    <t>E0220924</t>
  </si>
  <si>
    <t>RTF CRESTWOOD CHILDRENS CTR</t>
  </si>
  <si>
    <t>(585) 256-7500</t>
  </si>
  <si>
    <t>CRESTWOOD CHILDRENS CENTER</t>
  </si>
  <si>
    <t>Dennis Richardson</t>
  </si>
  <si>
    <t>drichard@hillside.org</t>
  </si>
  <si>
    <t>MILLARD FILLMORE HSP</t>
  </si>
  <si>
    <t>Nancy Balbick</t>
  </si>
  <si>
    <t>529 CENTRAL AVE</t>
  </si>
  <si>
    <t>ATTICA</t>
  </si>
  <si>
    <t>E0086760</t>
  </si>
  <si>
    <t>MID ERIE MENTAL HEALTH SVC</t>
  </si>
  <si>
    <t>MID ERIE MENTAL HEALTH SERVICES INC</t>
  </si>
  <si>
    <t>MID ERIE MENTAL HLTH SVCS,INC</t>
  </si>
  <si>
    <t>5360 GENESEE ST</t>
  </si>
  <si>
    <t>BOWMANSVILLE</t>
  </si>
  <si>
    <t>621 10TH ST</t>
  </si>
  <si>
    <t>E0268010</t>
  </si>
  <si>
    <t>MEDINA MEMORIAL HOSPITAL</t>
  </si>
  <si>
    <t>ORLEANS COMMUNITY HEALTH</t>
  </si>
  <si>
    <t>BECKER STEVEN</t>
  </si>
  <si>
    <t>(585) 815-1800</t>
  </si>
  <si>
    <t>jbennett@gcasa.org</t>
  </si>
  <si>
    <t>Baker Victory Services</t>
  </si>
  <si>
    <t>E0217292</t>
  </si>
  <si>
    <t>RTF BAKER HALL</t>
  </si>
  <si>
    <t>BAKER VICTORY SERVICES</t>
  </si>
  <si>
    <t>150 MARTIN RD</t>
  </si>
  <si>
    <t>DAY TRT &amp;CL TRT OMH</t>
  </si>
  <si>
    <t>E0252923</t>
  </si>
  <si>
    <t>BAKER VICTORY SVCS        INC</t>
  </si>
  <si>
    <t>39 DUNCAN ST</t>
  </si>
  <si>
    <t>MERCY AMB CARE CTR</t>
  </si>
  <si>
    <t>E0251889</t>
  </si>
  <si>
    <t>WESTERN NY CHILDRENS       PC</t>
  </si>
  <si>
    <t>David Privett</t>
  </si>
  <si>
    <t>E0222787</t>
  </si>
  <si>
    <t>1200 E AND WEST RD</t>
  </si>
  <si>
    <t>224 E MAIN ST</t>
  </si>
  <si>
    <t>SPRINGVILLE</t>
  </si>
  <si>
    <t>790 RIDGE RD</t>
  </si>
  <si>
    <t>(585) 593-1920</t>
  </si>
  <si>
    <t>E0233633</t>
  </si>
  <si>
    <t>MH SVC ERIE SOUTHEAST CORP V</t>
  </si>
  <si>
    <t>(716) 597-8337</t>
  </si>
  <si>
    <t>S BUFFALO CNS CL</t>
  </si>
  <si>
    <t>34 N MAIN ST</t>
  </si>
  <si>
    <t>Wellsville</t>
  </si>
  <si>
    <t>E0247762</t>
  </si>
  <si>
    <t>PEOPLE INC MAIN ST ICF</t>
  </si>
  <si>
    <t>Jim Boles</t>
  </si>
  <si>
    <t>(716) 817-7400</t>
  </si>
  <si>
    <t>jboles@people-inc.org</t>
  </si>
  <si>
    <t>PEOPLE INC</t>
  </si>
  <si>
    <t>MAIN ST ICF</t>
  </si>
  <si>
    <t>E0153468</t>
  </si>
  <si>
    <t>ELMWOOD HEALTH CENTER</t>
  </si>
  <si>
    <t>2128 ELMWOOD AVE</t>
  </si>
  <si>
    <t>E0228599</t>
  </si>
  <si>
    <t>DEAHN DALE L MD</t>
  </si>
  <si>
    <t>DEAHN DALE DR.</t>
  </si>
  <si>
    <t>DEAHN DALE LAVERNE</t>
  </si>
  <si>
    <t>401 MAIN ST</t>
  </si>
  <si>
    <t>ARCADE</t>
  </si>
  <si>
    <t>(716) 373-4303</t>
  </si>
  <si>
    <t>Fairport</t>
  </si>
  <si>
    <t>E0085356</t>
  </si>
  <si>
    <t>LIVING OPP OF DEPAUL  MH</t>
  </si>
  <si>
    <t>LIVING OPPORTUNITIES OF DEPAUL</t>
  </si>
  <si>
    <t>LIVING OPPORTUNITIES DEPAUL</t>
  </si>
  <si>
    <t>2240 OLD UNION RD</t>
  </si>
  <si>
    <t>DePaul Adult Care Communities, Inc. - Kenwell ALP</t>
  </si>
  <si>
    <t>DEPAUL ADULT COMMUNITY ALP</t>
  </si>
  <si>
    <t>1931 BUFFALO RD</t>
  </si>
  <si>
    <t>DePaul Adult Care Communities, Inc. - Woodcrest ALP</t>
  </si>
  <si>
    <t>DEPAUL ADULT CARE CENTERS ROCHESTER</t>
  </si>
  <si>
    <t>DePaul Community Services, Inc. - Care Mangement (HH)</t>
  </si>
  <si>
    <t>E0081118</t>
  </si>
  <si>
    <t>DEPAUL COMM SER MH</t>
  </si>
  <si>
    <t>DEPAUL COMMUNITY SERVICES SCM</t>
  </si>
  <si>
    <t>DePaul Community Services, Inc. - Community Residences</t>
  </si>
  <si>
    <t>E0168202</t>
  </si>
  <si>
    <t>DEPAUL MENTAL HLTH SVCS B</t>
  </si>
  <si>
    <t>DEPAUL COMMUNTIY SERVICES</t>
  </si>
  <si>
    <t>DEPAUL MENTAL HLTH SVCS A</t>
  </si>
  <si>
    <t>A/7126444 MONROE</t>
  </si>
  <si>
    <t>E0017717</t>
  </si>
  <si>
    <t>SUBURBAN ADULT SERVICES INC</t>
  </si>
  <si>
    <t>Anthony Annunziato</t>
  </si>
  <si>
    <t>(716) 805-1555</t>
  </si>
  <si>
    <t>tannunziato@sasinc.org</t>
  </si>
  <si>
    <t>SUBURBAN ADULT SERVICES-INC.</t>
  </si>
  <si>
    <t>960 W MAPLE CT</t>
  </si>
  <si>
    <t>ELMA</t>
  </si>
  <si>
    <t>85 METRO PARK</t>
  </si>
  <si>
    <t>E0189630</t>
  </si>
  <si>
    <t>HCR</t>
  </si>
  <si>
    <t>Tender Loving Family Care</t>
  </si>
  <si>
    <t>Joann Glover</t>
  </si>
  <si>
    <t>(585) 637-0333</t>
  </si>
  <si>
    <t>E0263461</t>
  </si>
  <si>
    <t>DE PAUL COMMUNITY SVCS INC</t>
  </si>
  <si>
    <t>DEPAUL COMMUNITY SERVICES INC</t>
  </si>
  <si>
    <t>DEPAUL COMMUNITY SVCS INC</t>
  </si>
  <si>
    <t>150 MOUNT HOPE AVE</t>
  </si>
  <si>
    <t>Jewish Family Services</t>
  </si>
  <si>
    <t>899 MAIN ST</t>
  </si>
  <si>
    <t>E0267695</t>
  </si>
  <si>
    <t>MEDINA MEMORIAL HOSPITAL SNF</t>
  </si>
  <si>
    <t>KHALIL SALMA</t>
  </si>
  <si>
    <t>E0090471</t>
  </si>
  <si>
    <t>KHALIL SALMA MD</t>
  </si>
  <si>
    <t>MILLARD FILLMORE HOS</t>
  </si>
  <si>
    <t>100 COLLEGE PKWY</t>
  </si>
  <si>
    <t>1555 LONG POND RD, DEPARTMENT OF MEDICINE</t>
  </si>
  <si>
    <t>MCENTEE JAMES DR.</t>
  </si>
  <si>
    <t>E0072232</t>
  </si>
  <si>
    <t>MCENTEE JAMES J</t>
  </si>
  <si>
    <t>MCENTEE JAMES JOSEPH</t>
  </si>
  <si>
    <t>POLLA ANDREW</t>
  </si>
  <si>
    <t>ROVNER ALEXANDER DR.</t>
  </si>
  <si>
    <t>E0020337</t>
  </si>
  <si>
    <t>ROVNER ALEXANDER V MD</t>
  </si>
  <si>
    <t>REED DANIEL MR.</t>
  </si>
  <si>
    <t>E0362033</t>
  </si>
  <si>
    <t>REED DANIEL P</t>
  </si>
  <si>
    <t>3085 HARLEM RD STE 200</t>
  </si>
  <si>
    <t>LAKESIDE MEM HOSP</t>
  </si>
  <si>
    <t>(716) 883-6800</t>
  </si>
  <si>
    <t>897 DELAWARE AVE</t>
  </si>
  <si>
    <t>EAST AMHERST</t>
  </si>
  <si>
    <t>E0048229</t>
  </si>
  <si>
    <t>CHAUDHURI JAYANTA MD</t>
  </si>
  <si>
    <t>(716) 298-0230</t>
  </si>
  <si>
    <t>CHAUDHURI JAYANTA</t>
  </si>
  <si>
    <t>(716) 693-3344</t>
  </si>
  <si>
    <t>1783 COLVIN BLVD</t>
  </si>
  <si>
    <t>E0131641</t>
  </si>
  <si>
    <t>MUCCIARELLA ROSALBA MD</t>
  </si>
  <si>
    <t>(716) 635-0688</t>
  </si>
  <si>
    <t>MUCCIARELLA ROSALBA</t>
  </si>
  <si>
    <t>505 DELAWARE AVE</t>
  </si>
  <si>
    <t>E0123755</t>
  </si>
  <si>
    <t>GADAWSKI ROBERT JOHN MD</t>
  </si>
  <si>
    <t>GADAWSKI ROBERT DR.</t>
  </si>
  <si>
    <t>SUMMIT PEDIATRICS PC</t>
  </si>
  <si>
    <t>2741 TRANSIT RD</t>
  </si>
  <si>
    <t>E0068718</t>
  </si>
  <si>
    <t>OSTEMPOWSKI MICHAEL JAMES MD</t>
  </si>
  <si>
    <t>(716) 204-1101</t>
  </si>
  <si>
    <t>OSTEMPOWSKI MICHAEL DR.</t>
  </si>
  <si>
    <t>AMHERST ORTHO</t>
  </si>
  <si>
    <t>E0022868</t>
  </si>
  <si>
    <t>BURSTEIN GALE R MD</t>
  </si>
  <si>
    <t>BURSTEIN GALE DR.</t>
  </si>
  <si>
    <t>E0023004</t>
  </si>
  <si>
    <t>BANAS MICHAEL DONALD MD</t>
  </si>
  <si>
    <t>(716) 835-2966</t>
  </si>
  <si>
    <t>BANAS MICHAEL</t>
  </si>
  <si>
    <t>E0149851</t>
  </si>
  <si>
    <t>SUTTER DIANE J MD</t>
  </si>
  <si>
    <t>(716) 650-5548</t>
  </si>
  <si>
    <t>SUTTER DIANE</t>
  </si>
  <si>
    <t>(716) 875-2904</t>
  </si>
  <si>
    <t>2075 SHERIDAN DR</t>
  </si>
  <si>
    <t>WILLIAMSVILLE SUBURBAN LLC</t>
  </si>
  <si>
    <t>E0233345</t>
  </si>
  <si>
    <t>WILLIAMSVILLE SUBURBAN</t>
  </si>
  <si>
    <t>163 S UNION RD</t>
  </si>
  <si>
    <t>E0183472</t>
  </si>
  <si>
    <t>FAM &amp; CHILD SVCS NIAGARA MH</t>
  </si>
  <si>
    <t>(716) 285-6984</t>
  </si>
  <si>
    <t>ksass@niagarafamily.org</t>
  </si>
  <si>
    <t>FAMILY &amp; CHILDREN'S SERVICE OF NIAGARA, INC</t>
  </si>
  <si>
    <t>1522 MAIN STREET</t>
  </si>
  <si>
    <t>E0284487</t>
  </si>
  <si>
    <t>BARONE STEVEN MICHAEL MD</t>
  </si>
  <si>
    <t>(716) 636-9004</t>
  </si>
  <si>
    <t>BARONE STEVEN</t>
  </si>
  <si>
    <t>1150 YOUNGS RD STE 202</t>
  </si>
  <si>
    <t>PO BOX 8000</t>
  </si>
  <si>
    <t>E0005034</t>
  </si>
  <si>
    <t>SEEREITER PHILLIP JAMES JR</t>
  </si>
  <si>
    <t>(716) 677-2273</t>
  </si>
  <si>
    <t>SEEREITER PHILLIP DR.</t>
  </si>
  <si>
    <t>500 STERLING DR</t>
  </si>
  <si>
    <t>E0083550</t>
  </si>
  <si>
    <t>JAIN RAJIV K MD</t>
  </si>
  <si>
    <t>(716) 332-4476</t>
  </si>
  <si>
    <t>JAIN RAJIV</t>
  </si>
  <si>
    <t>DEPEW</t>
  </si>
  <si>
    <t>(716) 831-1800</t>
  </si>
  <si>
    <t>E0236482</t>
  </si>
  <si>
    <t>BRAUTIGAM DONALD F         MD</t>
  </si>
  <si>
    <t>(716) 326-4678</t>
  </si>
  <si>
    <t>BRAUTIGAM DONALD DR.</t>
  </si>
  <si>
    <t>BRAUTIGAM DONALD F</t>
  </si>
  <si>
    <t>PO BOX 10</t>
  </si>
  <si>
    <t>E0115763</t>
  </si>
  <si>
    <t>KROL LAWRENCE CHARLES MD</t>
  </si>
  <si>
    <t>(716) 884-0230</t>
  </si>
  <si>
    <t>KROL LAWRENCE DR.</t>
  </si>
  <si>
    <t>341 ENGLEWOOD AVE</t>
  </si>
  <si>
    <t>3297 BAILEY AVE</t>
  </si>
  <si>
    <t>3020 BAILEY AVE</t>
  </si>
  <si>
    <t>E0321731</t>
  </si>
  <si>
    <t>ROJEK JENNIFER L</t>
  </si>
  <si>
    <t>(716) 675-5222</t>
  </si>
  <si>
    <t>ROJEK JENNIFER DR.</t>
  </si>
  <si>
    <t>3050 ORCHARD PARK RD</t>
  </si>
  <si>
    <t>8770 TRANSIT RD STE 2</t>
  </si>
  <si>
    <t>(716) 831-2700</t>
  </si>
  <si>
    <t>E0328388</t>
  </si>
  <si>
    <t>NOON MELANIE ELIZABETH</t>
  </si>
  <si>
    <t>(716) 677-6000</t>
  </si>
  <si>
    <t>D'ANGELO MELANIE</t>
  </si>
  <si>
    <t>180 PARK CLUB LN STE 100</t>
  </si>
  <si>
    <t>900 HERTEL AVE</t>
  </si>
  <si>
    <t>(716) 819-3420</t>
  </si>
  <si>
    <t>(716) 204-4500</t>
  </si>
  <si>
    <t>3669 SOUTHWESTERN BLVD</t>
  </si>
  <si>
    <t>E0191490</t>
  </si>
  <si>
    <t>GELFER ALEXANDER BORIS MD</t>
  </si>
  <si>
    <t>GELFER ALEXANDER DR.</t>
  </si>
  <si>
    <t>6645 MAIN ST</t>
  </si>
  <si>
    <t>E0065825</t>
  </si>
  <si>
    <t>PARSONS DAVID W</t>
  </si>
  <si>
    <t>PARSONS DAVID MR.</t>
  </si>
  <si>
    <t>PARSONS DAVID WILLIAM</t>
  </si>
  <si>
    <t>1083 DELAWARE AVE</t>
  </si>
  <si>
    <t>E0135811</t>
  </si>
  <si>
    <t>DZIK JOHN ALEXANDER MD</t>
  </si>
  <si>
    <t>(716) 558-5437</t>
  </si>
  <si>
    <t>DZIK JOHN DR.</t>
  </si>
  <si>
    <t>2309 EGGERT RD</t>
  </si>
  <si>
    <t>E0414855</t>
  </si>
  <si>
    <t>KOCH SHANNON</t>
  </si>
  <si>
    <t>KOCH SHANNON MRS.</t>
  </si>
  <si>
    <t>5130 E MAIN RD</t>
  </si>
  <si>
    <t>WABICK JAROD</t>
  </si>
  <si>
    <t>2040 SENECA ST</t>
  </si>
  <si>
    <t>RICHIR THERESA</t>
  </si>
  <si>
    <t>1280 MAIN ST</t>
  </si>
  <si>
    <t>E0134828</t>
  </si>
  <si>
    <t>GUTERMAN LEE RAND MD</t>
  </si>
  <si>
    <t>GUTERMAN LEE</t>
  </si>
  <si>
    <t>DEPT OF NEUROSURGERY</t>
  </si>
  <si>
    <t>3560 N BUFFALO ST</t>
  </si>
  <si>
    <t>1630 MAPLE RD</t>
  </si>
  <si>
    <t>E0348144</t>
  </si>
  <si>
    <t>PETROZIELLO MICHAEL</t>
  </si>
  <si>
    <t>CATTARAUGUS REHABILITATION CENTER, INC.</t>
  </si>
  <si>
    <t>E0165754</t>
  </si>
  <si>
    <t>CATTARAUGUS REHAB CENTER MH</t>
  </si>
  <si>
    <t>(716) 375-4747</t>
  </si>
  <si>
    <t>1439 BUFFALO ST</t>
  </si>
  <si>
    <t>E0152225</t>
  </si>
  <si>
    <t>GOODMAN GAIL R MD</t>
  </si>
  <si>
    <t>(716) 972-0279</t>
  </si>
  <si>
    <t>GOODMAN GAIL</t>
  </si>
  <si>
    <t>E0093148</t>
  </si>
  <si>
    <t>OBERKIRCHER ADAM PA</t>
  </si>
  <si>
    <t>OBERKIRCHER ADAM</t>
  </si>
  <si>
    <t>OBERKIRCHER ADAM ROBERTS</t>
  </si>
  <si>
    <t>325 ESSJAY RD</t>
  </si>
  <si>
    <t>E0191027</t>
  </si>
  <si>
    <t>PERFETTO CARLO MICHAEL MD</t>
  </si>
  <si>
    <t>PERFETTO CARLO DR.</t>
  </si>
  <si>
    <t>PERFETTO CARLO MICHAEL</t>
  </si>
  <si>
    <t>550 ORCHARD PARK RD STE B100</t>
  </si>
  <si>
    <t>E0060409</t>
  </si>
  <si>
    <t>HERNANDEZ ILIZALITURRI F MD</t>
  </si>
  <si>
    <t>HERNANDEZ-ILIZALITURRI FRANCISCO</t>
  </si>
  <si>
    <t>RPCI CL PRCT</t>
  </si>
  <si>
    <t>E0310564</t>
  </si>
  <si>
    <t>DOERR MARK</t>
  </si>
  <si>
    <t>DOERR MARK JOSEPH MD</t>
  </si>
  <si>
    <t>(716) 218-1000</t>
  </si>
  <si>
    <t>80 MEAD ST</t>
  </si>
  <si>
    <t>KIBLER MITCHELL MR.</t>
  </si>
  <si>
    <t>E0037332</t>
  </si>
  <si>
    <t>PFALZER AARON M MD</t>
  </si>
  <si>
    <t>PFALZER AARON</t>
  </si>
  <si>
    <t>E0070239</t>
  </si>
  <si>
    <t>DEXTER ELIZABETH MD</t>
  </si>
  <si>
    <t>DEXTER ELISABETH</t>
  </si>
  <si>
    <t>DEXTER ELISABETH MD</t>
  </si>
  <si>
    <t>E0138024</t>
  </si>
  <si>
    <t>SHAH DHIREN K MD</t>
  </si>
  <si>
    <t>(716) 844-5500</t>
  </si>
  <si>
    <t>SHAH DHIREN DR.</t>
  </si>
  <si>
    <t>SHAH DHIREN K</t>
  </si>
  <si>
    <t>DEGRAFF MEM HOSP</t>
  </si>
  <si>
    <t>N TONAWANDA</t>
  </si>
  <si>
    <t>BUFFALO GEN HOSP</t>
  </si>
  <si>
    <t>KALEIDA HLTH CHOB</t>
  </si>
  <si>
    <t>E0043760</t>
  </si>
  <si>
    <t>NISBET PATRICIA A</t>
  </si>
  <si>
    <t>NISBET PATRICIA</t>
  </si>
  <si>
    <t>NISBET PATRICIA ANN</t>
  </si>
  <si>
    <t>505 DELAWARE AVE RM 5</t>
  </si>
  <si>
    <t>E0111534</t>
  </si>
  <si>
    <t>O'NEIL MARY MARGARET MD</t>
  </si>
  <si>
    <t>(716) 675-2500</t>
  </si>
  <si>
    <t>ONEIL MARY</t>
  </si>
  <si>
    <t>O'NEIL MARY MARGARET</t>
  </si>
  <si>
    <t>3500 SHERIDAN DR</t>
  </si>
  <si>
    <t>155 LAWN AVE</t>
  </si>
  <si>
    <t>E0134174</t>
  </si>
  <si>
    <t>BARTOLONE CHRISTOPHER J MD</t>
  </si>
  <si>
    <t>(716) 626-5250</t>
  </si>
  <si>
    <t>BARTOLONE CHRISTOPHER</t>
  </si>
  <si>
    <t>60 MAPLE RD</t>
  </si>
  <si>
    <t>(716) 634-5100</t>
  </si>
  <si>
    <t>E0309441</t>
  </si>
  <si>
    <t>MADHUSUDANAN MOHAN</t>
  </si>
  <si>
    <t>3091 WILLIAM ST</t>
  </si>
  <si>
    <t>E0392738</t>
  </si>
  <si>
    <t>JAIMES CHRISTINE E</t>
  </si>
  <si>
    <t>JAIMES CHRISTINE MRS.</t>
  </si>
  <si>
    <t>ROSWELL PARK CANCER INSTITUTE INC</t>
  </si>
  <si>
    <t>E0340958</t>
  </si>
  <si>
    <t>ROSWELL PARK CANCER INST</t>
  </si>
  <si>
    <t>699 HERTEL AVE</t>
  </si>
  <si>
    <t>E0367534</t>
  </si>
  <si>
    <t>PANZA DANIELLE N</t>
  </si>
  <si>
    <t>(716) 690-2691</t>
  </si>
  <si>
    <t>PANZA DANIELLE</t>
  </si>
  <si>
    <t>4927 MAIN ST STE 400</t>
  </si>
  <si>
    <t>(716) 895-6700</t>
  </si>
  <si>
    <t>HANSON MICHAEL</t>
  </si>
  <si>
    <t>E0193297</t>
  </si>
  <si>
    <t>SOBIE STEPHEN R MD</t>
  </si>
  <si>
    <t>SOBIE STEPHEN DR.</t>
  </si>
  <si>
    <t>E0134563</t>
  </si>
  <si>
    <t>MCCARTHY PHILIP LOUIS JR MD</t>
  </si>
  <si>
    <t>MCCARTHY PHILIP</t>
  </si>
  <si>
    <t>E0040970</t>
  </si>
  <si>
    <t>BLOOMBERG RICHARD D MD</t>
  </si>
  <si>
    <t>(716) 677-5500</t>
  </si>
  <si>
    <t>BLOOMBERG RICHARD</t>
  </si>
  <si>
    <t>E0181647</t>
  </si>
  <si>
    <t>GUGINO LAWRENCE J  MD</t>
  </si>
  <si>
    <t>(716) 649-6500</t>
  </si>
  <si>
    <t>GUGINO LAWRENCE DR.</t>
  </si>
  <si>
    <t>SMITH KEVIN</t>
  </si>
  <si>
    <t>1280 MAIN ST, SPECTRUM HUMAN SERVICES</t>
  </si>
  <si>
    <t>E0175610</t>
  </si>
  <si>
    <t>HOLMLUND TOMAS HENRY  MD</t>
  </si>
  <si>
    <t>(716) 250-2000</t>
  </si>
  <si>
    <t>HOLMLUND TOMAS</t>
  </si>
  <si>
    <t>THE GERRY HOMES</t>
  </si>
  <si>
    <t>2000 SOUTHWESTERN DR # WE</t>
  </si>
  <si>
    <t>(716) 204-3200</t>
  </si>
  <si>
    <t>160 FARBER HALL</t>
  </si>
  <si>
    <t>E0354586</t>
  </si>
  <si>
    <t>PHICHITH CATERINA MIMI</t>
  </si>
  <si>
    <t>PHICHITH CATERINA</t>
  </si>
  <si>
    <t>60 MAPLE RD STE 1</t>
  </si>
  <si>
    <t>E0031586</t>
  </si>
  <si>
    <t>ECKHERT KENNETH HARRY III MD</t>
  </si>
  <si>
    <t>(716) 675-7730</t>
  </si>
  <si>
    <t>ECKHERT KENNETH DR.</t>
  </si>
  <si>
    <t>(716) 636-1470</t>
  </si>
  <si>
    <t>SNYDER</t>
  </si>
  <si>
    <t>E0215175</t>
  </si>
  <si>
    <t>GILL LIVELEEN MARCO MD</t>
  </si>
  <si>
    <t>(716) 674-4006</t>
  </si>
  <si>
    <t>GILL LIVELEEN DR.</t>
  </si>
  <si>
    <t>14 CENTER RD</t>
  </si>
  <si>
    <t>W SENECA</t>
  </si>
  <si>
    <t>3095 HARLEM RD</t>
  </si>
  <si>
    <t>E0062541</t>
  </si>
  <si>
    <t>COSICO FELIXBERTO ISON</t>
  </si>
  <si>
    <t>COSICO FELIXBERTO DR.</t>
  </si>
  <si>
    <t>(716) 672-6673</t>
  </si>
  <si>
    <t>50 BRIGHAM RD</t>
  </si>
  <si>
    <t>FREDONIA</t>
  </si>
  <si>
    <t>E0012310</t>
  </si>
  <si>
    <t>CARL GARY HUDSON MD</t>
  </si>
  <si>
    <t>CARL GARY</t>
  </si>
  <si>
    <t>2666 W STATE ST</t>
  </si>
  <si>
    <t>E0057203</t>
  </si>
  <si>
    <t>DELONG SUSAN A</t>
  </si>
  <si>
    <t>DELONG SUSAN</t>
  </si>
  <si>
    <t>STE 715</t>
  </si>
  <si>
    <t>E0112219</t>
  </si>
  <si>
    <t>PESONO SHARON LYNN</t>
  </si>
  <si>
    <t>PESONO SHARON</t>
  </si>
  <si>
    <t>MFG SUB NH</t>
  </si>
  <si>
    <t>SKOLIKAS MARTHA</t>
  </si>
  <si>
    <t>326 ORCHARD PARK RD</t>
  </si>
  <si>
    <t>E0009619</t>
  </si>
  <si>
    <t>FALVO MARK ANTHONY  MD</t>
  </si>
  <si>
    <t>FALVO MARK</t>
  </si>
  <si>
    <t>E0318460</t>
  </si>
  <si>
    <t>BAKER HALL INC DBA BAKER VICTORY SE</t>
  </si>
  <si>
    <t>(716) 828-9751</t>
  </si>
  <si>
    <t>1 LEO MOSS DR STE 4010</t>
  </si>
  <si>
    <t>3626 SENECA ST</t>
  </si>
  <si>
    <t>RUMMELL JOAN</t>
  </si>
  <si>
    <t>(716) 849-8750</t>
  </si>
  <si>
    <t>E0065961</t>
  </si>
  <si>
    <t>KNIGHT TIMOTHY C</t>
  </si>
  <si>
    <t>KNIGHT TIMOTHY</t>
  </si>
  <si>
    <t>780 RIDGE RD</t>
  </si>
  <si>
    <t>E0100345</t>
  </si>
  <si>
    <t>OMRDD/CHAUTAUQUA OFFICE/AGING</t>
  </si>
  <si>
    <t>(716) 753-4471</t>
  </si>
  <si>
    <t>BASIC</t>
  </si>
  <si>
    <t>7030 ERIE RD</t>
  </si>
  <si>
    <t>DERBY</t>
  </si>
  <si>
    <t>OMRDD/ERIE CO ARC/HERITAGE CT</t>
  </si>
  <si>
    <t>E0100198</t>
  </si>
  <si>
    <t>ERIE CO ARC/HERITAGE CTR</t>
  </si>
  <si>
    <t>2643 MAIN ST</t>
  </si>
  <si>
    <t>NYS ARC INC CATTARAUG HCBS 8</t>
  </si>
  <si>
    <t>E0100031</t>
  </si>
  <si>
    <t>1439 BUFFALO ST # FFY2265</t>
  </si>
  <si>
    <t>OMRDD/NATIVE AMERICAN COMM SV</t>
  </si>
  <si>
    <t>E0099780</t>
  </si>
  <si>
    <t>1219 N FOREST RD</t>
  </si>
  <si>
    <t>ASPIRE OF WESTERN NEW YORK INC</t>
  </si>
  <si>
    <t>GETZVILLE</t>
  </si>
  <si>
    <t>ERIE CO ARC/HERITAGE CT HCBS6</t>
  </si>
  <si>
    <t>E0098865</t>
  </si>
  <si>
    <t>101 OAK ST # VVD1479</t>
  </si>
  <si>
    <t>HERITAGE CENTERS -SUPPORT SMP</t>
  </si>
  <si>
    <t>E0083124</t>
  </si>
  <si>
    <t>HERITAGE CENTERS - SUPPORT SMP</t>
  </si>
  <si>
    <t>101 OAK ST</t>
  </si>
  <si>
    <t>E0142440</t>
  </si>
  <si>
    <t>FERGUSON RICHARD EAMON MD</t>
  </si>
  <si>
    <t>(716) 655-5454</t>
  </si>
  <si>
    <t>FERGUSON RICHARD DR.</t>
  </si>
  <si>
    <t>E0158587</t>
  </si>
  <si>
    <t>LANDIS ANDREW J MD</t>
  </si>
  <si>
    <t>(716) 679-2233</t>
  </si>
  <si>
    <t>LANDIS ANDREW</t>
  </si>
  <si>
    <t>LANDIS ANDREW JAMES</t>
  </si>
  <si>
    <t>12 CENTER ST STE 1</t>
  </si>
  <si>
    <t>E0038194</t>
  </si>
  <si>
    <t>LUISI ANDREW MD</t>
  </si>
  <si>
    <t>LUISI ANDREW</t>
  </si>
  <si>
    <t>E0239031</t>
  </si>
  <si>
    <t>HAQ SYED EAJAZ UL MD PC</t>
  </si>
  <si>
    <t>(716) 833-3697</t>
  </si>
  <si>
    <t>HAQ SYED DR.</t>
  </si>
  <si>
    <t>474 NIAGARA FALLS BLVD</t>
  </si>
  <si>
    <t>E0133946</t>
  </si>
  <si>
    <t>CONSTANTINE JEFFREY C OBGYN P</t>
  </si>
  <si>
    <t>CONSTANTINE JEFFREY DR.</t>
  </si>
  <si>
    <t>E0065963</t>
  </si>
  <si>
    <t>STANSBERRY ANDREW J</t>
  </si>
  <si>
    <t>STANSBERRY ANDREW</t>
  </si>
  <si>
    <t>(716) 883-1914</t>
  </si>
  <si>
    <t>70 BARKER ST</t>
  </si>
  <si>
    <t>CHILD &amp; ADOLESCENT TREATMENT SERVICES INC</t>
  </si>
  <si>
    <t>E0263436</t>
  </si>
  <si>
    <t>CHILD AND ADOLESCENT PSY CL</t>
  </si>
  <si>
    <t>UNIV BRANCH CL</t>
  </si>
  <si>
    <t>FARRELL MELISSA</t>
  </si>
  <si>
    <t>4086 SENECA ST</t>
  </si>
  <si>
    <t>O'MAY JAMES</t>
  </si>
  <si>
    <t>192 PARK CLUB LANE SUITE 100</t>
  </si>
  <si>
    <t>E0074324</t>
  </si>
  <si>
    <t>PIECZONKA SHEILA M MD</t>
  </si>
  <si>
    <t>PIECZONKA SHEILA MRS.</t>
  </si>
  <si>
    <t>4845 TRANSIT RD</t>
  </si>
  <si>
    <t>E0065502</t>
  </si>
  <si>
    <t>DEMMY TODD L MD</t>
  </si>
  <si>
    <t>DEMMY TODD</t>
  </si>
  <si>
    <t>RPCI CLINICAL PRAC P</t>
  </si>
  <si>
    <t>E0215693</t>
  </si>
  <si>
    <t>SCRIVANI STEPHEN P MD</t>
  </si>
  <si>
    <t>(716) 632-1400</t>
  </si>
  <si>
    <t>SCRIVANI STEPHEN DR.</t>
  </si>
  <si>
    <t>STE 5</t>
  </si>
  <si>
    <t>3980A SHERIDAN DR</t>
  </si>
  <si>
    <t>SANBORN</t>
  </si>
  <si>
    <t>(716) 961-9900</t>
  </si>
  <si>
    <t>E0359207</t>
  </si>
  <si>
    <t>TAYLOR MARTINA</t>
  </si>
  <si>
    <t>TAYLOR MARTINA DR.</t>
  </si>
  <si>
    <t>155 LAWN AVE STE 100</t>
  </si>
  <si>
    <t>463 WILLIAM ST</t>
  </si>
  <si>
    <t>E0367547</t>
  </si>
  <si>
    <t>RUDLOFF MARY ELIZABETH</t>
  </si>
  <si>
    <t>RUDLOFF MARY</t>
  </si>
  <si>
    <t>618 CENTER ST</t>
  </si>
  <si>
    <t>CHERRY CREEK</t>
  </si>
  <si>
    <t>E0083569</t>
  </si>
  <si>
    <t>GREEN DAWN J RPA</t>
  </si>
  <si>
    <t>GREEN DAWN</t>
  </si>
  <si>
    <t>GREEN DAWN JANINE</t>
  </si>
  <si>
    <t>E0071895</t>
  </si>
  <si>
    <t>MULAWKA JOHN</t>
  </si>
  <si>
    <t>(716) 947-2222</t>
  </si>
  <si>
    <t>MULAWKA JOHN DR.</t>
  </si>
  <si>
    <t>CHILDS HOSP BUFFALO</t>
  </si>
  <si>
    <t>E0323981</t>
  </si>
  <si>
    <t>BHAT SEEMA ALI MD</t>
  </si>
  <si>
    <t>BHAT SEEMA</t>
  </si>
  <si>
    <t>E0309127</t>
  </si>
  <si>
    <t>FREDERICK PETER JONATHAN MD</t>
  </si>
  <si>
    <t>FREDERICK PETER</t>
  </si>
  <si>
    <t>5320 MILITARY RD</t>
  </si>
  <si>
    <t>E0191865</t>
  </si>
  <si>
    <t>MCADAM FREDERICK B MD</t>
  </si>
  <si>
    <t>(716) 626-0093</t>
  </si>
  <si>
    <t>MCADAM FREDERICK DR.</t>
  </si>
  <si>
    <t>65 WEHRLE DR</t>
  </si>
  <si>
    <t>E0134307</t>
  </si>
  <si>
    <t>CLEARY KEVIN G MD</t>
  </si>
  <si>
    <t>(716) 608-7040</t>
  </si>
  <si>
    <t>CLEARY KEVIN</t>
  </si>
  <si>
    <t>CLEARY KEVIN G</t>
  </si>
  <si>
    <t>E0240819</t>
  </si>
  <si>
    <t>CARREL JEFFREY M DPM</t>
  </si>
  <si>
    <t>(716) 839-3930</t>
  </si>
  <si>
    <t>CARREL JEFFREY DR.</t>
  </si>
  <si>
    <t>409 BRISBANE BLDG</t>
  </si>
  <si>
    <t>E0046716</t>
  </si>
  <si>
    <t>TOMASZEWSKI GARIN MICHAEL MD</t>
  </si>
  <si>
    <t>TOMASZEWSKI GARIN</t>
  </si>
  <si>
    <t>RPCI CLIN PRTC PLAN</t>
  </si>
  <si>
    <t>E0044627</t>
  </si>
  <si>
    <t>PATTERSON DANIEL JOHN DO</t>
  </si>
  <si>
    <t>PATTERSON DANIEL DR.</t>
  </si>
  <si>
    <t>PATTERSON DANIEL JOHN</t>
  </si>
  <si>
    <t>310 STERLING DR</t>
  </si>
  <si>
    <t>E0203605</t>
  </si>
  <si>
    <t>KAUL TEJ N MD</t>
  </si>
  <si>
    <t>KAUL TEJ DR.</t>
  </si>
  <si>
    <t>909 PINE AVE</t>
  </si>
  <si>
    <t>HERITAGE VILLAGE REHAB &amp; SKILLED NURSING INC</t>
  </si>
  <si>
    <t>E0263564</t>
  </si>
  <si>
    <t>HERITAGE VILLAGE REH &amp; SKILLED NRS</t>
  </si>
  <si>
    <t>4570 ROUTE 60</t>
  </si>
  <si>
    <t>GERRY</t>
  </si>
  <si>
    <t>E0326527</t>
  </si>
  <si>
    <t>NELSON KATHRYN ANNE</t>
  </si>
  <si>
    <t>NELSON KATHRYN</t>
  </si>
  <si>
    <t>623 MAIN ST STE 200</t>
  </si>
  <si>
    <t>E0325518</t>
  </si>
  <si>
    <t>RATLIFF DAVID</t>
  </si>
  <si>
    <t>8750 TRANSIT RD</t>
  </si>
  <si>
    <t>E0190992</t>
  </si>
  <si>
    <t>LIPPES HOWARD A</t>
  </si>
  <si>
    <t>LIPPES HOWARD</t>
  </si>
  <si>
    <t>125 HODGE AVE</t>
  </si>
  <si>
    <t>(716) 439-9183</t>
  </si>
  <si>
    <t>BOWBACK ANN</t>
  </si>
  <si>
    <t>1235 MAIN STREET, MICA</t>
  </si>
  <si>
    <t>NIAGARA HOSPICE, INC.</t>
  </si>
  <si>
    <t>E0192023</t>
  </si>
  <si>
    <t>NIAGARA HOSPICE INC</t>
  </si>
  <si>
    <t>(716) 439-4417</t>
  </si>
  <si>
    <t>4675 SUNSET DR</t>
  </si>
  <si>
    <t>BORGOGELLI LYNN MRS.</t>
  </si>
  <si>
    <t>E0227467</t>
  </si>
  <si>
    <t>KAWINSKI BOHDAN JERZY MD</t>
  </si>
  <si>
    <t>KAWINSKI BOHDAN</t>
  </si>
  <si>
    <t>E0215365</t>
  </si>
  <si>
    <t>CZYRNY JAMES J             MD</t>
  </si>
  <si>
    <t>(716) 898-3106</t>
  </si>
  <si>
    <t>CZYRNY JAMES</t>
  </si>
  <si>
    <t>E0210256</t>
  </si>
  <si>
    <t>NORMAN ALLYN MICHAEL       MD</t>
  </si>
  <si>
    <t>(716) 204-4532</t>
  </si>
  <si>
    <t>NORMAN ALLYN DR.</t>
  </si>
  <si>
    <t>NORMAN ALLYN MICHAEL</t>
  </si>
  <si>
    <t>1825 MAPLE RD</t>
  </si>
  <si>
    <t>E0220908</t>
  </si>
  <si>
    <t>BOEPPLE HARTWIG O          MD</t>
  </si>
  <si>
    <t>(716) 631-8863</t>
  </si>
  <si>
    <t>BOEPPLE HARTWIG DR.</t>
  </si>
  <si>
    <t>GATEWAY-LONGVIEW, INC</t>
  </si>
  <si>
    <t>E0263549</t>
  </si>
  <si>
    <t>GATEWAY LONGVIEW</t>
  </si>
  <si>
    <t>OPER CERT C-116 T10</t>
  </si>
  <si>
    <t>E0290975</t>
  </si>
  <si>
    <t>LISSA FRANCES CAPUSON</t>
  </si>
  <si>
    <t>(716) 298-8133</t>
  </si>
  <si>
    <t>CAPUSON LISSA MS.</t>
  </si>
  <si>
    <t>CAPUSON LISSA FRANCES NP</t>
  </si>
  <si>
    <t>E0317661</t>
  </si>
  <si>
    <t>KIRSTEIN RUTA MARIE</t>
  </si>
  <si>
    <t>KIRSTEIN RUTA</t>
  </si>
  <si>
    <t>225 COMO PARK BLVD</t>
  </si>
  <si>
    <t>E0101969</t>
  </si>
  <si>
    <t>MAHESHWARI YOGESH MD</t>
  </si>
  <si>
    <t>MAHESHWARI YOGESH</t>
  </si>
  <si>
    <t>GASTRO ASSOC LLP</t>
  </si>
  <si>
    <t>E0120482</t>
  </si>
  <si>
    <t>PERVEZ YASMIN MD</t>
  </si>
  <si>
    <t>(716) 692-7156</t>
  </si>
  <si>
    <t>PERVEZ YASMIN</t>
  </si>
  <si>
    <t>277 DIVISION ST</t>
  </si>
  <si>
    <t>HOSPICE BUFFALO, INC.</t>
  </si>
  <si>
    <t>E0204191</t>
  </si>
  <si>
    <t>HOSPICE BUFFALO           INC</t>
  </si>
  <si>
    <t>(716) 686-1900</t>
  </si>
  <si>
    <t>PCU UNIT</t>
  </si>
  <si>
    <t>E0238528</t>
  </si>
  <si>
    <t>CHARY KANDALA KRISHNA      MD</t>
  </si>
  <si>
    <t>(716) 565-0355</t>
  </si>
  <si>
    <t>CHARY KANDALA</t>
  </si>
  <si>
    <t>1616 KENSINGTON AVE</t>
  </si>
  <si>
    <t>2875 UNION RD STE 8</t>
  </si>
  <si>
    <t>E0072772</t>
  </si>
  <si>
    <t>DYSON KATHLEEN MARIE MD</t>
  </si>
  <si>
    <t>(716) 662-2300</t>
  </si>
  <si>
    <t>DYSON KATHLEEN</t>
  </si>
  <si>
    <t>3725 N BUFFALO ST</t>
  </si>
  <si>
    <t>E0180030</t>
  </si>
  <si>
    <t>BURRUANO JAMES C  DPM</t>
  </si>
  <si>
    <t>(716) 874-5540</t>
  </si>
  <si>
    <t>BURRUANO JAMES DR.</t>
  </si>
  <si>
    <t>4459 BAILEY AVENUE OPERATING COMPANY LLC</t>
  </si>
  <si>
    <t>E0372254</t>
  </si>
  <si>
    <t>4459 BAILEY AVE OPERATING CO LLC</t>
  </si>
  <si>
    <t>4459 BAILEY AVE</t>
  </si>
  <si>
    <t>(716) 636-7979</t>
  </si>
  <si>
    <t>E0240992</t>
  </si>
  <si>
    <t>GERBASI THOMAS R MD        PC</t>
  </si>
  <si>
    <t>(716) 297-0052</t>
  </si>
  <si>
    <t>GERBASI THOMAS MR.</t>
  </si>
  <si>
    <t>GERBASI THOMAS R</t>
  </si>
  <si>
    <t>550 ORCHARD PARK RD STE A103</t>
  </si>
  <si>
    <t>6460 MAIN ST</t>
  </si>
  <si>
    <t>E0188781</t>
  </si>
  <si>
    <t>GOMEZ SUESCUN JORGE A MD</t>
  </si>
  <si>
    <t>GOMEZ JORGE</t>
  </si>
  <si>
    <t>MERCY HOSP RAD THERP</t>
  </si>
  <si>
    <t>E0057870</t>
  </si>
  <si>
    <t>MASON PAUL J</t>
  </si>
  <si>
    <t>MASON PAUL DR.</t>
  </si>
  <si>
    <t>(716) 278-1940</t>
  </si>
  <si>
    <t>HAMBURG</t>
  </si>
  <si>
    <t>E0056930</t>
  </si>
  <si>
    <t>WANG EUNICE SUE MD</t>
  </si>
  <si>
    <t>WANG EUNICE</t>
  </si>
  <si>
    <t>E0034270</t>
  </si>
  <si>
    <t>EDELSON JONATHAN MD</t>
  </si>
  <si>
    <t>EDELSON JONATHAN DR.</t>
  </si>
  <si>
    <t>EDELSON JONATHAN S</t>
  </si>
  <si>
    <t>3680 EGGERT RD</t>
  </si>
  <si>
    <t>E0361238</t>
  </si>
  <si>
    <t>NICOSIA BETHANN R</t>
  </si>
  <si>
    <t>NICOSIA BETHANN</t>
  </si>
  <si>
    <t>NICOSIA BETHANN ROSE</t>
  </si>
  <si>
    <t>1235 MAIN ST</t>
  </si>
  <si>
    <t>EAST AURORA</t>
  </si>
  <si>
    <t>E0087162</t>
  </si>
  <si>
    <t>KRABAK MICHAEL J MD</t>
  </si>
  <si>
    <t>KRABAK MICHAEL</t>
  </si>
  <si>
    <t>CENTURY MED ASSOC PC</t>
  </si>
  <si>
    <t>E0065567</t>
  </si>
  <si>
    <t>KURTZ KATHY ANNE</t>
  </si>
  <si>
    <t>KURTZ KATHY</t>
  </si>
  <si>
    <t>Buffalo</t>
  </si>
  <si>
    <t>E0048450</t>
  </si>
  <si>
    <t>HORN STEVEN JOSEPH MD</t>
  </si>
  <si>
    <t>(716) 580-3810</t>
  </si>
  <si>
    <t>HORN STEVEN</t>
  </si>
  <si>
    <t>CARDIO READING PANEL</t>
  </si>
  <si>
    <t>1000 YOUNGS RD</t>
  </si>
  <si>
    <t>E0175756</t>
  </si>
  <si>
    <t>GARSON DAVID S MD</t>
  </si>
  <si>
    <t>GARSON DAVID</t>
  </si>
  <si>
    <t>FRONTIER SURGERY LLP</t>
  </si>
  <si>
    <t>E0115697</t>
  </si>
  <si>
    <t>CAPACCIO DAVID</t>
  </si>
  <si>
    <t>(716) 826-7000</t>
  </si>
  <si>
    <t>CAPACCIO DAVID LIVINGSTON</t>
  </si>
  <si>
    <t>565 ABBOTT ROAD</t>
  </si>
  <si>
    <t>E0180447</t>
  </si>
  <si>
    <t>MOY OWEN JAMES MD</t>
  </si>
  <si>
    <t>(716) 250-9999</t>
  </si>
  <si>
    <t>MOY OWEN</t>
  </si>
  <si>
    <t>E0005720</t>
  </si>
  <si>
    <t>WANTUCK CHRISTINE</t>
  </si>
  <si>
    <t>(716) 651-0911</t>
  </si>
  <si>
    <t>LINDER CHRISTINE MRS.</t>
  </si>
  <si>
    <t>LINDER CHRISTINE ELIZABETH</t>
  </si>
  <si>
    <t>150 BENNETT RD</t>
  </si>
  <si>
    <t>E0011045</t>
  </si>
  <si>
    <t>SINGH ANURAG KISHOR MD</t>
  </si>
  <si>
    <t>SINGH ANURAG</t>
  </si>
  <si>
    <t>SILVER CREEK</t>
  </si>
  <si>
    <t>(716) 630-1050</t>
  </si>
  <si>
    <t>MAIN UROLOGY ASSOC</t>
  </si>
  <si>
    <t>E0289202</t>
  </si>
  <si>
    <t>RANA MUZAMIL</t>
  </si>
  <si>
    <t>RANA MUZAMIL DR.</t>
  </si>
  <si>
    <t>3495 BAILEY AVE</t>
  </si>
  <si>
    <t>E0173821</t>
  </si>
  <si>
    <t>FLYNN WILLIAM J JR MD</t>
  </si>
  <si>
    <t>FLYNN WILLIAM DR.</t>
  </si>
  <si>
    <t>POPE TYLICA</t>
  </si>
  <si>
    <t>E0136940</t>
  </si>
  <si>
    <t>ADDAGATLA SUJATHA MD</t>
  </si>
  <si>
    <t>(716) 298-1868</t>
  </si>
  <si>
    <t>ADDAGATLA SUJATHA DR.</t>
  </si>
  <si>
    <t>ACADEMIC MED SL</t>
  </si>
  <si>
    <t>2950 ELMWOOD AVE</t>
  </si>
  <si>
    <t>E0173077</t>
  </si>
  <si>
    <t>PANZARELLA JAMES JOHN  DO</t>
  </si>
  <si>
    <t>(716) 833-2200</t>
  </si>
  <si>
    <t>PANZARELLA JAMES DR.</t>
  </si>
  <si>
    <t>1150 YOUNGS RD STE 104</t>
  </si>
  <si>
    <t>2600 NIAGARA FALLS BOULEVARD OPERATING COMPANY LLC</t>
  </si>
  <si>
    <t>E0396641</t>
  </si>
  <si>
    <t>2600 NIAGARA FALLS BLVD OPERATING C</t>
  </si>
  <si>
    <t>(716) 215-8000</t>
  </si>
  <si>
    <t>2600 NIAGARA FALLS BLVD # B</t>
  </si>
  <si>
    <t>5775 MAELOU DR</t>
  </si>
  <si>
    <t>E0161894</t>
  </si>
  <si>
    <t>KOPP CHRISTOPHER F MD</t>
  </si>
  <si>
    <t>KOPP CHRISTOPHER DR.</t>
  </si>
  <si>
    <t>3040 AMSDELL RD</t>
  </si>
  <si>
    <t>2850 GRAND ISLAND BLVD</t>
  </si>
  <si>
    <t>GRAND ISLAND</t>
  </si>
  <si>
    <t>3407 DELAWARE AVE</t>
  </si>
  <si>
    <t>CHAUTAUQUA COUNTY DEPARTMENT OF HEALTH</t>
  </si>
  <si>
    <t>E0290676</t>
  </si>
  <si>
    <t>CHAUTAUQUA CO DEPT OF HLTH PSSHSP</t>
  </si>
  <si>
    <t>7 N ERIE ST FL 4</t>
  </si>
  <si>
    <t>ZEMLA VICKIE</t>
  </si>
  <si>
    <t>E0186884</t>
  </si>
  <si>
    <t>BAKER VICTORY SERVICES ICF</t>
  </si>
  <si>
    <t>MARIAN HOUSE ICF</t>
  </si>
  <si>
    <t>E0209926</t>
  </si>
  <si>
    <t>SICKELS ERIC MD</t>
  </si>
  <si>
    <t>SICKELS ERIC DR.</t>
  </si>
  <si>
    <t>GENESEE PEDIATRIC AS</t>
  </si>
  <si>
    <t>E0049889</t>
  </si>
  <si>
    <t>LILLIS ANN F</t>
  </si>
  <si>
    <t>LILLIS ANN</t>
  </si>
  <si>
    <t>6044 MAIN ST</t>
  </si>
  <si>
    <t>E0122865</t>
  </si>
  <si>
    <t>SHERIFF FUAD HABIB MD</t>
  </si>
  <si>
    <t>(716) 834-4266</t>
  </si>
  <si>
    <t>SHERIFF FUAD</t>
  </si>
  <si>
    <t>E0017067</t>
  </si>
  <si>
    <t>PRINTUP ELIZABETH NP</t>
  </si>
  <si>
    <t>PRINTUP ELIZABETH MS.</t>
  </si>
  <si>
    <t>PRINTUP ELIZABETH MARIE</t>
  </si>
  <si>
    <t>38 N MAIN ST</t>
  </si>
  <si>
    <t>DELEVAN</t>
  </si>
  <si>
    <t>E0153831</t>
  </si>
  <si>
    <t>SUDDABY LOUBERT S MD</t>
  </si>
  <si>
    <t>SUDDABY LOUBERT DR.</t>
  </si>
  <si>
    <t>550 ORCHARD PARK RD</t>
  </si>
  <si>
    <t>E0003283</t>
  </si>
  <si>
    <t>BUFFALO PC ACT TEAM RISP CNSTA</t>
  </si>
  <si>
    <t>BUFFALO PSYCHIATRIC CENTER</t>
  </si>
  <si>
    <t>400 FOREST AVE BLDG 51</t>
  </si>
  <si>
    <t>E0238270</t>
  </si>
  <si>
    <t>KOZOWER MICHAEL MD</t>
  </si>
  <si>
    <t>KOZOWER MICHAEL</t>
  </si>
  <si>
    <t>E0129087</t>
  </si>
  <si>
    <t>MIQDADI JEHAD AHMAD MD</t>
  </si>
  <si>
    <t>MIQDADI JEHAD DR.</t>
  </si>
  <si>
    <t>CUMBO THOMAS DR.</t>
  </si>
  <si>
    <t>E0172552</t>
  </si>
  <si>
    <t>WESTNER THOMAS G  MD</t>
  </si>
  <si>
    <t>WESTNER THOMAS DR.</t>
  </si>
  <si>
    <t>3615 SENECA ST</t>
  </si>
  <si>
    <t>E0115722</t>
  </si>
  <si>
    <t>CALLAHAN JOHN</t>
  </si>
  <si>
    <t>CALLAHAN JOHN MD</t>
  </si>
  <si>
    <t>E0194830</t>
  </si>
  <si>
    <t>CONWAY JAMES T             MD</t>
  </si>
  <si>
    <t>CONWAY JAMES DR.</t>
  </si>
  <si>
    <t>CONWAY JAMES T</t>
  </si>
  <si>
    <t>HOUGHTON</t>
  </si>
  <si>
    <t>E0175536</t>
  </si>
  <si>
    <t>KAYE ROBERT DAVID MD</t>
  </si>
  <si>
    <t>KAYE ROBERT</t>
  </si>
  <si>
    <t>E0072771</t>
  </si>
  <si>
    <t>BOWMAN LORI ANNE MD</t>
  </si>
  <si>
    <t>BOWMAN LORI DR.</t>
  </si>
  <si>
    <t>E0215271</t>
  </si>
  <si>
    <t>MARCHETTI DAVID L          MD</t>
  </si>
  <si>
    <t>(716) 689-8398</t>
  </si>
  <si>
    <t>MARCHETTI DAVID DR.</t>
  </si>
  <si>
    <t>E0100628</t>
  </si>
  <si>
    <t>MCLAUGHLIN KATHLEEN B RPA</t>
  </si>
  <si>
    <t>MCLAUGHLIN KATHLEEN</t>
  </si>
  <si>
    <t>E0160167</t>
  </si>
  <si>
    <t>SMITH BRIAN GARY MD</t>
  </si>
  <si>
    <t>SMITH BRIAN DR.</t>
  </si>
  <si>
    <t>RPMI</t>
  </si>
  <si>
    <t>E0237414</t>
  </si>
  <si>
    <t>HELLRIEGEL JOHN C JR       MD</t>
  </si>
  <si>
    <t>HELLRIEGEL JOHN DR.</t>
  </si>
  <si>
    <t>HELLRIEGEL JOHN C JR MD</t>
  </si>
  <si>
    <t>E0002062</t>
  </si>
  <si>
    <t>QASAYMEH MOHAMMAD MUSTAFA</t>
  </si>
  <si>
    <t>QASAYMEH MOHAMMAD</t>
  </si>
  <si>
    <t>QASAYMEH MOHAMMAD MUSTAFA MD</t>
  </si>
  <si>
    <t>E0005902</t>
  </si>
  <si>
    <t>SINGHAL PANKAJ KUMAR MD</t>
  </si>
  <si>
    <t>SINGHAL PANKAJ DR.</t>
  </si>
  <si>
    <t>E0337995</t>
  </si>
  <si>
    <t>GUZZETTA LINDSAY MARIE</t>
  </si>
  <si>
    <t>GUZZETTA LINDSAY</t>
  </si>
  <si>
    <t>LUPKIN IVAR</t>
  </si>
  <si>
    <t>E0300356</t>
  </si>
  <si>
    <t>MICHAEL DANIEL HESS</t>
  </si>
  <si>
    <t>HESS MICHAEL</t>
  </si>
  <si>
    <t>HESS MICHAEL DANIEL</t>
  </si>
  <si>
    <t>57 DAVISON CT STE D</t>
  </si>
  <si>
    <t>E0115754</t>
  </si>
  <si>
    <t>RYAN JAMES E MD</t>
  </si>
  <si>
    <t>RYAN JAMES</t>
  </si>
  <si>
    <t>4225 MAPLE RD</t>
  </si>
  <si>
    <t>E0285992</t>
  </si>
  <si>
    <t>FITZPATRICK EDWARD</t>
  </si>
  <si>
    <t>FITZPATRICK EDWARD DR.</t>
  </si>
  <si>
    <t>FITZPATRICK EDWARD T DPM</t>
  </si>
  <si>
    <t>E0231017</t>
  </si>
  <si>
    <t>EGNATCHIK JAMES G          MD</t>
  </si>
  <si>
    <t>EGNATCHIK JAMES</t>
  </si>
  <si>
    <t>(716) 934-4518</t>
  </si>
  <si>
    <t>SHERIDAN MANOR LLC</t>
  </si>
  <si>
    <t>2799 SHERIDAN DR</t>
  </si>
  <si>
    <t>E0122625</t>
  </si>
  <si>
    <t>KHALID MAHRAN</t>
  </si>
  <si>
    <t>MAHRAN KHALID</t>
  </si>
  <si>
    <t>MAHRAN, KHALID SIDKIE SIDDIEK</t>
  </si>
  <si>
    <t>COUNTY OF CHAUTAUQUA A MUN CORP</t>
  </si>
  <si>
    <t>E0010883</t>
  </si>
  <si>
    <t>SAINSBURY DAWN</t>
  </si>
  <si>
    <t>SAINSBURY DAWNMARIE</t>
  </si>
  <si>
    <t>E0014459</t>
  </si>
  <si>
    <t>PURCELL EILEEN BARBARA</t>
  </si>
  <si>
    <t>PURCELL EILEEN</t>
  </si>
  <si>
    <t>815 HOPKINS RD</t>
  </si>
  <si>
    <t>E0195042</t>
  </si>
  <si>
    <t>ROCKOFF JEFFREY B          MD</t>
  </si>
  <si>
    <t>ROCKOFF JEFFREY DR.</t>
  </si>
  <si>
    <t>E0092675</t>
  </si>
  <si>
    <t>MEYER JENNIFER RPA</t>
  </si>
  <si>
    <t>MEYER JENNIFER</t>
  </si>
  <si>
    <t>MEYER JENNIFER JAUCH</t>
  </si>
  <si>
    <t>E0041318</t>
  </si>
  <si>
    <t>VISCO JEFFREY JOHN MD</t>
  </si>
  <si>
    <t>VISCO JEFFREY DR.</t>
  </si>
  <si>
    <t>BUFFALO MED GROUP</t>
  </si>
  <si>
    <t>E0172680</t>
  </si>
  <si>
    <t>DANZIGER IRIS R  MD</t>
  </si>
  <si>
    <t>(716) 712-0855</t>
  </si>
  <si>
    <t>DANZIGER IRIS</t>
  </si>
  <si>
    <t>50 HIGH ST</t>
  </si>
  <si>
    <t>E0170659</t>
  </si>
  <si>
    <t>SLOUGH JAMES ALAN MD</t>
  </si>
  <si>
    <t>SLOUGH JAMES</t>
  </si>
  <si>
    <t>E0318273</t>
  </si>
  <si>
    <t>MEESALA MRINALINI</t>
  </si>
  <si>
    <t>(716) 634-3243</t>
  </si>
  <si>
    <t>MEESALA MRINALINI DR.</t>
  </si>
  <si>
    <t>(716) 631-2517</t>
  </si>
  <si>
    <t>656 ELMWOOD AVE</t>
  </si>
  <si>
    <t>E0309980</t>
  </si>
  <si>
    <t>MANCL TARA BETH</t>
  </si>
  <si>
    <t>MANCL TARA DR.</t>
  </si>
  <si>
    <t>E0071815</t>
  </si>
  <si>
    <t>MONTESANTI DAVID PAUL MD</t>
  </si>
  <si>
    <t>(716) 631-8888</t>
  </si>
  <si>
    <t>MONTESANTI DAVID DR.</t>
  </si>
  <si>
    <t>1 HOPKINS RD</t>
  </si>
  <si>
    <t>E0230577</t>
  </si>
  <si>
    <t>MICHALSKI STANLEY R</t>
  </si>
  <si>
    <t>MICHALSKI STANLEY DR.</t>
  </si>
  <si>
    <t>E0192651</t>
  </si>
  <si>
    <t>GIANFAGNA ROBERT ANTHONY MD</t>
  </si>
  <si>
    <t>GIANFAGNA ROBERT</t>
  </si>
  <si>
    <t>3435 BAILEY AVE</t>
  </si>
  <si>
    <t>E0321979</t>
  </si>
  <si>
    <t>SHERBAN ROSS</t>
  </si>
  <si>
    <t>SHERBAN ROSS DR.</t>
  </si>
  <si>
    <t>55 SPINDRIFT DR</t>
  </si>
  <si>
    <t>WILLIAMVILLE</t>
  </si>
  <si>
    <t>E0368998</t>
  </si>
  <si>
    <t>KARPIE JOHN</t>
  </si>
  <si>
    <t>192 PARK CLUB LN STE</t>
  </si>
  <si>
    <t>E0056108</t>
  </si>
  <si>
    <t>WHEAT HEATHER MILLER MD</t>
  </si>
  <si>
    <t>WHEAT HEATHER</t>
  </si>
  <si>
    <t>ACADEMIC MED SVCS</t>
  </si>
  <si>
    <t>E0321932</t>
  </si>
  <si>
    <t>GURSKE-DESPERIO JENNIFER</t>
  </si>
  <si>
    <t>GURSKE-DEPERIO JENNIFER</t>
  </si>
  <si>
    <t>DE PERIO JENNIFER GURSKE</t>
  </si>
  <si>
    <t>E0251549</t>
  </si>
  <si>
    <t>ROEHMHOLDT MARY ELIZABETH  MD</t>
  </si>
  <si>
    <t>(716) 634-6357</t>
  </si>
  <si>
    <t>ROEHMHOLDT MARY DR.</t>
  </si>
  <si>
    <t>300 LINWOOD AVE</t>
  </si>
  <si>
    <t>E0218174</t>
  </si>
  <si>
    <t>SULLIVAN PHILIP R          MD</t>
  </si>
  <si>
    <t>SULLIVAN PHILIP</t>
  </si>
  <si>
    <t>DEPT OF MED</t>
  </si>
  <si>
    <t>ZIMMERMAN KAREN MS.</t>
  </si>
  <si>
    <t>1235 MAIN STREET, MICA INTENSIVE OUTPATIENT PROGRAM</t>
  </si>
  <si>
    <t>E0006535</t>
  </si>
  <si>
    <t>MONTALVO BEVERLY</t>
  </si>
  <si>
    <t>MONTALVO BEVERLY ANNE</t>
  </si>
  <si>
    <t>NORTH COLLINS</t>
  </si>
  <si>
    <t>E0395831</t>
  </si>
  <si>
    <t>FARACO MARAIEL J</t>
  </si>
  <si>
    <t>FARACO MARAIEL MS.</t>
  </si>
  <si>
    <t>(716) 839-5858</t>
  </si>
  <si>
    <t>MORGANTI ALLISON</t>
  </si>
  <si>
    <t>180 PARK CLUB LANE, SUITE 225</t>
  </si>
  <si>
    <t>E0189914</t>
  </si>
  <si>
    <t>CATTARAUGUS REHABILITATION CT</t>
  </si>
  <si>
    <t>3799 S NINE MILE RD</t>
  </si>
  <si>
    <t>ALLEGANY</t>
  </si>
  <si>
    <t>15 ELIZABETH DR</t>
  </si>
  <si>
    <t>E0161888</t>
  </si>
  <si>
    <t>BAUMANN LOUIS R MD</t>
  </si>
  <si>
    <t>BAUMANN LOUIS DR.</t>
  </si>
  <si>
    <t>E0361884</t>
  </si>
  <si>
    <t>ROGGOW SUSANNE K E</t>
  </si>
  <si>
    <t>ROGGOW SUSANNE</t>
  </si>
  <si>
    <t>E0299201</t>
  </si>
  <si>
    <t>HENNA M SHEIKH</t>
  </si>
  <si>
    <t>SHEIKH HENNA</t>
  </si>
  <si>
    <t>(716) 947-0408</t>
  </si>
  <si>
    <t>SHEIKH HENNA M</t>
  </si>
  <si>
    <t>7060 ERIE RD</t>
  </si>
  <si>
    <t>E0322786</t>
  </si>
  <si>
    <t>JONES JOSHUA MD</t>
  </si>
  <si>
    <t>JONES JOSHUA</t>
  </si>
  <si>
    <t>E0162450</t>
  </si>
  <si>
    <t>FARRELL MEGAN O MD</t>
  </si>
  <si>
    <t>FARRELL MEGAN</t>
  </si>
  <si>
    <t>E0057046</t>
  </si>
  <si>
    <t>SOUTHARD AMY L</t>
  </si>
  <si>
    <t>SOUTHARD AMY</t>
  </si>
  <si>
    <t>SOUTHARD AMY LYNN</t>
  </si>
  <si>
    <t>E0235960</t>
  </si>
  <si>
    <t>BODKIN JOHN J              MD</t>
  </si>
  <si>
    <t>BODKIN JOHN DR.</t>
  </si>
  <si>
    <t>HIGHGATE MED GRP PC</t>
  </si>
  <si>
    <t>E0126482</t>
  </si>
  <si>
    <t>AVINO DAVID MD</t>
  </si>
  <si>
    <t>AVINO DAVID</t>
  </si>
  <si>
    <t>515 ABBOTT RD</t>
  </si>
  <si>
    <t>WEST AMHERST</t>
  </si>
  <si>
    <t>E0305177</t>
  </si>
  <si>
    <t>CACHO CELE SARAI</t>
  </si>
  <si>
    <t>SCHULZ CELE</t>
  </si>
  <si>
    <t>CACHO CELE S</t>
  </si>
  <si>
    <t>225 BENNETT RD</t>
  </si>
  <si>
    <t>E0321980</t>
  </si>
  <si>
    <t>PFALZER DAVID</t>
  </si>
  <si>
    <t>PFALZER DAVID MR.</t>
  </si>
  <si>
    <t>E0228168</t>
  </si>
  <si>
    <t>SINATRA LAWRENCE THOMAS    MD</t>
  </si>
  <si>
    <t>SINATRA LAWRENCE DR.</t>
  </si>
  <si>
    <t>ST FRANCIS NURSING</t>
  </si>
  <si>
    <t>E0211227</t>
  </si>
  <si>
    <t>WELLIVER JOSEPHINE R</t>
  </si>
  <si>
    <t>(716) 893-7337</t>
  </si>
  <si>
    <t>WELLIVER JOSEPHINE</t>
  </si>
  <si>
    <t>WELLIVER JOSEPHINE ROSS</t>
  </si>
  <si>
    <t>JEAN NOWAK</t>
  </si>
  <si>
    <t>3112 SHERIDAN DR</t>
  </si>
  <si>
    <t>E0087130</t>
  </si>
  <si>
    <t>PARENTIS MICHAEL A MD</t>
  </si>
  <si>
    <t>PARENTIS MICHAEL</t>
  </si>
  <si>
    <t>KNEE CTR OF WNY</t>
  </si>
  <si>
    <t>E0338082</t>
  </si>
  <si>
    <t>CHOUCHANI CHRISTIAN P</t>
  </si>
  <si>
    <t>CHOUCHANI CHRISTIAN DR.</t>
  </si>
  <si>
    <t>30 N UNION RD STE 101</t>
  </si>
  <si>
    <t>E0024970</t>
  </si>
  <si>
    <t>JAFFRI NAUREEN R DO</t>
  </si>
  <si>
    <t>JAFFRI NAUREEN DR.</t>
  </si>
  <si>
    <t>2800 SWEET HOME RD</t>
  </si>
  <si>
    <t>4955 N BAILEY AVE</t>
  </si>
  <si>
    <t>(716) 842-2750</t>
  </si>
  <si>
    <t>E0342736</t>
  </si>
  <si>
    <t>FISHER KRISTEN RACKL</t>
  </si>
  <si>
    <t>FISHER KRISTEN MRS.</t>
  </si>
  <si>
    <t>E0000076</t>
  </si>
  <si>
    <t>MIAN NAIMA</t>
  </si>
  <si>
    <t>MIAN NAIMA AHMAD</t>
  </si>
  <si>
    <t>E0146103</t>
  </si>
  <si>
    <t>ABIALMOUNA JIHAD HASSAN MD</t>
  </si>
  <si>
    <t>(716) 691-1300</t>
  </si>
  <si>
    <t>ABIALMOUNA JIHAD DR.</t>
  </si>
  <si>
    <t>ABIALMOUNA JIHAD H</t>
  </si>
  <si>
    <t>2800 SWEET HOME RD STE 6</t>
  </si>
  <si>
    <t>E0215143</t>
  </si>
  <si>
    <t>PIETRAK STANLEY JAMES      MD</t>
  </si>
  <si>
    <t>PIETRAK STANLEY</t>
  </si>
  <si>
    <t>12835 BROADWAY ST</t>
  </si>
  <si>
    <t>MRGICH GLENN</t>
  </si>
  <si>
    <t>E0072758</t>
  </si>
  <si>
    <t>BROWN JENNIFER MD</t>
  </si>
  <si>
    <t>BROWN JENNIFER</t>
  </si>
  <si>
    <t>UNIVERSITY NEUROLOGY  INC.</t>
  </si>
  <si>
    <t>CHOB</t>
  </si>
  <si>
    <t>E0186436</t>
  </si>
  <si>
    <t>MECHTLER LASZLO L MD</t>
  </si>
  <si>
    <t>MECHTLER LASZLO</t>
  </si>
  <si>
    <t>E0225448</t>
  </si>
  <si>
    <t>CLINE WILLIAM B            MD</t>
  </si>
  <si>
    <t>CLINE WILLIAM DR.</t>
  </si>
  <si>
    <t>79 BRYANT ST</t>
  </si>
  <si>
    <t>E0240194</t>
  </si>
  <si>
    <t>LOPEZ OSCAR S MD</t>
  </si>
  <si>
    <t>(716) 632-5450</t>
  </si>
  <si>
    <t>LOPEZ OSCAR</t>
  </si>
  <si>
    <t>E0116681</t>
  </si>
  <si>
    <t>DZIK DARLENE ANN MD</t>
  </si>
  <si>
    <t>DZIK DARLENE DR.</t>
  </si>
  <si>
    <t>GENESEE TRANSIT LLP</t>
  </si>
  <si>
    <t>E0092365</t>
  </si>
  <si>
    <t>FRISICARO GERALD</t>
  </si>
  <si>
    <t>3416 ROUTE 394</t>
  </si>
  <si>
    <t>RANDOLPH</t>
  </si>
  <si>
    <t>5817 S PARK AVE</t>
  </si>
  <si>
    <t>PETERSON CHRISTINE</t>
  </si>
  <si>
    <t>E0026105</t>
  </si>
  <si>
    <t>LARSON DOUGLAS</t>
  </si>
  <si>
    <t>LARSON DOUGLAS DR.</t>
  </si>
  <si>
    <t>LARSON DOUGLAS MARSHALL</t>
  </si>
  <si>
    <t>680 FAIRMOUNT AVE</t>
  </si>
  <si>
    <t>Jamestown</t>
  </si>
  <si>
    <t>E0215142</t>
  </si>
  <si>
    <t>PIETRUSIK MICHAEL JOSEPH DPM</t>
  </si>
  <si>
    <t>PIETRUSIK MICHAEL</t>
  </si>
  <si>
    <t>PIETRUSIK MICHAEL JOSEPH</t>
  </si>
  <si>
    <t>3277 S PARK AVE</t>
  </si>
  <si>
    <t>SMITH KAREN</t>
  </si>
  <si>
    <t>E0352667</t>
  </si>
  <si>
    <t>ECKLER JUSTIN</t>
  </si>
  <si>
    <t>E0059300</t>
  </si>
  <si>
    <t>BAGGETT MICHAEL ALLEN MD</t>
  </si>
  <si>
    <t>BAGGETT MICHAEL</t>
  </si>
  <si>
    <t>E0219533</t>
  </si>
  <si>
    <t>WOODMAN HENRI T            MD</t>
  </si>
  <si>
    <t>WOODMAN HENRI</t>
  </si>
  <si>
    <t>UNITED CEREBRAL PALSY ASSOC OF NYS INC.</t>
  </si>
  <si>
    <t>ASPIRE OF WESTERN NEW YORK INC.</t>
  </si>
  <si>
    <t>E0252034</t>
  </si>
  <si>
    <t>ASPIRE OF WESTERN NEW YORK IN</t>
  </si>
  <si>
    <t>DOH CLINIC</t>
  </si>
  <si>
    <t>(716) 842-0440</t>
  </si>
  <si>
    <t>E0345201</t>
  </si>
  <si>
    <t>MEHTA VINAY</t>
  </si>
  <si>
    <t>MEHTA VINAY DR.</t>
  </si>
  <si>
    <t>E0082400</t>
  </si>
  <si>
    <t>KHAWAR SARWAT MD</t>
  </si>
  <si>
    <t>KHAWAR SARWAT</t>
  </si>
  <si>
    <t>O'DELL MED CENTER</t>
  </si>
  <si>
    <t>CHILD &amp; ADOLESCENT TREATMENT SERVICE INC</t>
  </si>
  <si>
    <t>E0298862</t>
  </si>
  <si>
    <t>DRYJA ERIC DAVID</t>
  </si>
  <si>
    <t>DRYJA ERIC MR.</t>
  </si>
  <si>
    <t>E0036727</t>
  </si>
  <si>
    <t>DIAZ-REYES GUSTAVO ADOLFO MD</t>
  </si>
  <si>
    <t>DIAZ-REYES GUSTAVO DR.</t>
  </si>
  <si>
    <t>E0190670</t>
  </si>
  <si>
    <t>MACLEAN CRAIG K MD</t>
  </si>
  <si>
    <t>MACLEAN CRAIG</t>
  </si>
  <si>
    <t>(716) 646-6700</t>
  </si>
  <si>
    <t>10626 MAIN STREET</t>
  </si>
  <si>
    <t>E0060431</t>
  </si>
  <si>
    <t>MEHBOOB SHAHID MD</t>
  </si>
  <si>
    <t>MEHBOOB SHAHID</t>
  </si>
  <si>
    <t>ACADEMIC MED SERVICE</t>
  </si>
  <si>
    <t>5467 UPPER MOUNTAIN ROAD</t>
  </si>
  <si>
    <t>(716) 828-1410</t>
  </si>
  <si>
    <t>E0219955</t>
  </si>
  <si>
    <t>LEARY DANIEL A          MD PC</t>
  </si>
  <si>
    <t>(716) 671-8393</t>
  </si>
  <si>
    <t>LEARY DANIEL</t>
  </si>
  <si>
    <t>LEARY DANIEL A</t>
  </si>
  <si>
    <t>E0031265</t>
  </si>
  <si>
    <t>MELTSER HENRY MARK MD</t>
  </si>
  <si>
    <t>MELTSER HENRY DR.</t>
  </si>
  <si>
    <t>825 WEHRLE DR</t>
  </si>
  <si>
    <t>E0016551</t>
  </si>
  <si>
    <t>CONLEY DANIELLE</t>
  </si>
  <si>
    <t>(716) 332-4472</t>
  </si>
  <si>
    <t>560 FRANKLIN ST</t>
  </si>
  <si>
    <t>(716) 668-5331</t>
  </si>
  <si>
    <t>322 PARK AVE</t>
  </si>
  <si>
    <t>E0189354</t>
  </si>
  <si>
    <t>IACONA MARIE A MD</t>
  </si>
  <si>
    <t>IACONA MARIE</t>
  </si>
  <si>
    <t>E0009952</t>
  </si>
  <si>
    <t>ADAMS TIMOTHY MARTIN  MD</t>
  </si>
  <si>
    <t>ADAMS TIMOTHY DR.</t>
  </si>
  <si>
    <t>295 ESSJAY RD</t>
  </si>
  <si>
    <t>E0364490</t>
  </si>
  <si>
    <t>KINDZIA AMANDA JEAN</t>
  </si>
  <si>
    <t>KINDZIA AMANDA</t>
  </si>
  <si>
    <t>113 MAIN ST</t>
  </si>
  <si>
    <t>E0312193</t>
  </si>
  <si>
    <t>MCVIGE JENNIFER WILLIAMS</t>
  </si>
  <si>
    <t>MCVIGE JENNIFER DR.</t>
  </si>
  <si>
    <t>3980 SHERIDAN DR FL 3</t>
  </si>
  <si>
    <t>E0154373</t>
  </si>
  <si>
    <t>CALANDRA SALVATORE MICHAEL MD</t>
  </si>
  <si>
    <t>CALANDRA SALVATORE DR.</t>
  </si>
  <si>
    <t>E0302669</t>
  </si>
  <si>
    <t>JI YOUNG LEE</t>
  </si>
  <si>
    <t>LEE JI YOUNG</t>
  </si>
  <si>
    <t>E0122215</t>
  </si>
  <si>
    <t>DELCASTILLO MARIA C V MD</t>
  </si>
  <si>
    <t>DELCASTILLO MARIA</t>
  </si>
  <si>
    <t>E0011881</t>
  </si>
  <si>
    <t>KREPPEL SUSAN M NP</t>
  </si>
  <si>
    <t>KREPPEL SUSAN</t>
  </si>
  <si>
    <t>6000 N BAILEY AVE</t>
  </si>
  <si>
    <t>E0078836</t>
  </si>
  <si>
    <t>ALAM HYDER MD</t>
  </si>
  <si>
    <t>(716) 366-9008</t>
  </si>
  <si>
    <t>ALAM HYDER</t>
  </si>
  <si>
    <t>E0133017</t>
  </si>
  <si>
    <t>MITCHELL MICHAEL JOSEPH MD</t>
  </si>
  <si>
    <t>(716) 282-0349</t>
  </si>
  <si>
    <t>MITCHELL MICHAEL DR.</t>
  </si>
  <si>
    <t>E0238413</t>
  </si>
  <si>
    <t>LEE KEUN YONG              MD</t>
  </si>
  <si>
    <t>LEE KEUN DR.</t>
  </si>
  <si>
    <t>SUNYAB</t>
  </si>
  <si>
    <t>E0009021</t>
  </si>
  <si>
    <t>ALHATTAB EYAD S MD</t>
  </si>
  <si>
    <t>AL-HATTAB EYAD DR.</t>
  </si>
  <si>
    <t>COMMUNITY CONCERN OF WNY</t>
  </si>
  <si>
    <t>E0232515</t>
  </si>
  <si>
    <t>(716) 947-5025</t>
  </si>
  <si>
    <t>6722 ERIE RD</t>
  </si>
  <si>
    <t>TEBO LESLIE</t>
  </si>
  <si>
    <t>DIPASQUALE ALICIA</t>
  </si>
  <si>
    <t>E0110096</t>
  </si>
  <si>
    <t>BAKER VICTORY HEALTHCARE CTR</t>
  </si>
  <si>
    <t>BAKER VICTORY HEALTHCARE CENTER</t>
  </si>
  <si>
    <t>E0333123</t>
  </si>
  <si>
    <t>PAMELA ANNE HENNESEN</t>
  </si>
  <si>
    <t>HENNESEN PAMELA</t>
  </si>
  <si>
    <t>HENNESEN PAMELA ANNE</t>
  </si>
  <si>
    <t>6935 ELAINE DR</t>
  </si>
  <si>
    <t>NIAGARA COUNTY TREASURERS OFFICE</t>
  </si>
  <si>
    <t>E0347684</t>
  </si>
  <si>
    <t>NIAGARA COUNTY DEPARTMENT OF HEALTH</t>
  </si>
  <si>
    <t>5467 UPPER MOUNTAIN RD STE 100</t>
  </si>
  <si>
    <t>1500 BROADWAY ST</t>
  </si>
  <si>
    <t>E0049012</t>
  </si>
  <si>
    <t>RYAN MICHAEL D RPA</t>
  </si>
  <si>
    <t>RYAN MICHAEL</t>
  </si>
  <si>
    <t>RYAN MICHAEL DONALD</t>
  </si>
  <si>
    <t>E0065631</t>
  </si>
  <si>
    <t>SHEPPARD MARY T</t>
  </si>
  <si>
    <t>SHEPPARD MARY</t>
  </si>
  <si>
    <t>E0187514</t>
  </si>
  <si>
    <t>LEWIS PAUL JEFFREY MD</t>
  </si>
  <si>
    <t>LEWIS P JEFFREY</t>
  </si>
  <si>
    <t>E0144137</t>
  </si>
  <si>
    <t>SIEDLECKI ANDREW JOSEPH MD</t>
  </si>
  <si>
    <t>(716) 634-8500</t>
  </si>
  <si>
    <t>SIEDLECKI ANDREW DR.</t>
  </si>
  <si>
    <t>SIEDLECKI ANDREW JOSEPH</t>
  </si>
  <si>
    <t>1637 HERTEL AVE</t>
  </si>
  <si>
    <t>E0181238</t>
  </si>
  <si>
    <t>RASMUSSON TIMOTHY R MD</t>
  </si>
  <si>
    <t>RASMUSSON TIMOTHY</t>
  </si>
  <si>
    <t>LUTHERAN SOCIAL SERVICES OF UPSTATE NEW YORK, INC.</t>
  </si>
  <si>
    <t>E0316471</t>
  </si>
  <si>
    <t>WARNER PLACE ADHC</t>
  </si>
  <si>
    <t>155 ALDREN AVE</t>
  </si>
  <si>
    <t>HORIZON VILLAGE</t>
  </si>
  <si>
    <t>E0011199</t>
  </si>
  <si>
    <t>HORIZON VILLAGE INC</t>
  </si>
  <si>
    <t>314 ELLICOTT ST</t>
  </si>
  <si>
    <t>1001 11TH ST</t>
  </si>
  <si>
    <t>850 HOPKINS RD</t>
  </si>
  <si>
    <t>E0307730</t>
  </si>
  <si>
    <t>BURKE MARK STEVEN</t>
  </si>
  <si>
    <t>BURKE MARK</t>
  </si>
  <si>
    <t>E0192436</t>
  </si>
  <si>
    <t>BURAN JOSEPH EDWARD</t>
  </si>
  <si>
    <t>(716) 639-8358</t>
  </si>
  <si>
    <t>BURAN JOSEPH DR.</t>
  </si>
  <si>
    <t>1542 MAPLE RD</t>
  </si>
  <si>
    <t>E0149470</t>
  </si>
  <si>
    <t>OCONNOR GALE LAUREN MD</t>
  </si>
  <si>
    <t>(716) 712-0490</t>
  </si>
  <si>
    <t>OCONNOR GALE</t>
  </si>
  <si>
    <t>E0001889</t>
  </si>
  <si>
    <t>MACKOWIAK SUSAN</t>
  </si>
  <si>
    <t>MACKOWIAK SUSAN A</t>
  </si>
  <si>
    <t>E0321955</t>
  </si>
  <si>
    <t>WEINGARTEN MICHAEL</t>
  </si>
  <si>
    <t>WEINGARTEN MICHAEL SCOTT</t>
  </si>
  <si>
    <t>E0074480</t>
  </si>
  <si>
    <t>USEN JOSHUA MICHAEL DO</t>
  </si>
  <si>
    <t>(716) 636-7800</t>
  </si>
  <si>
    <t>USEN JOSHUA DR.</t>
  </si>
  <si>
    <t>1416 SWEET HOME RD STE 12</t>
  </si>
  <si>
    <t>SIEPIERSKI REBECCA</t>
  </si>
  <si>
    <t>2309 EGGERT RD, SUITE 9</t>
  </si>
  <si>
    <t>400 INTERNATIONAL DR STE 2</t>
  </si>
  <si>
    <t>E0347542</t>
  </si>
  <si>
    <t>HERNANDEZ EVETTE M</t>
  </si>
  <si>
    <t>(716) 885-2229</t>
  </si>
  <si>
    <t>HERNANDEZ EVETTE</t>
  </si>
  <si>
    <t>E0143933</t>
  </si>
  <si>
    <t>JOY-PARDI JUDYANN V MD</t>
  </si>
  <si>
    <t>(716) 565-1978</t>
  </si>
  <si>
    <t>JOY-PARDI JUDY DR.</t>
  </si>
  <si>
    <t>SHERMAN</t>
  </si>
  <si>
    <t>E0017107</t>
  </si>
  <si>
    <t>YOSUICO VICTOR ERNESTO DAVID MD</t>
  </si>
  <si>
    <t>YOSUICO VICTOR</t>
  </si>
  <si>
    <t>E0143383</t>
  </si>
  <si>
    <t>BAMBACH BARBARA J MD</t>
  </si>
  <si>
    <t>BAMBACH BARBARA</t>
  </si>
  <si>
    <t>CHILDRENS HSP</t>
  </si>
  <si>
    <t>E0134817</t>
  </si>
  <si>
    <t>PELL MICHAEL ANTHONY MD</t>
  </si>
  <si>
    <t>PELL MICHAEL</t>
  </si>
  <si>
    <t>E0014087</t>
  </si>
  <si>
    <t>WEGRZYN SUSAN D NP</t>
  </si>
  <si>
    <t>WEGRZYN SUSAN</t>
  </si>
  <si>
    <t>ABSOLUT CENTER FOR NURSING AND REHABILITATION AT ORCHARD PARK, LLC</t>
  </si>
  <si>
    <t>E0223300</t>
  </si>
  <si>
    <t>ABSOLUT CT NRS &amp; REH AT ORCHARD PAR</t>
  </si>
  <si>
    <t>6060 ARMOR DUELLS RD</t>
  </si>
  <si>
    <t>E0010237</t>
  </si>
  <si>
    <t>GELMAN-KOESSLER LISA MD</t>
  </si>
  <si>
    <t>(716) 633-4575</t>
  </si>
  <si>
    <t>GELMAN-KOESSLER LISA</t>
  </si>
  <si>
    <t>51 GLASGOW AVE</t>
  </si>
  <si>
    <t>2625 HARLEM RD</t>
  </si>
  <si>
    <t>E0057886</t>
  </si>
  <si>
    <t>DOFITAS STEVE BANARIA MD</t>
  </si>
  <si>
    <t>DOFITAS STEVE DR.</t>
  </si>
  <si>
    <t>SUITE #5</t>
  </si>
  <si>
    <t>E0010258</t>
  </si>
  <si>
    <t>BERNAS GEOFFREY ALLEN MD</t>
  </si>
  <si>
    <t>BERNAS GEOFFREY DR.</t>
  </si>
  <si>
    <t>200 STERLING DR STE 400</t>
  </si>
  <si>
    <t>ACQUILANO KRISTEN</t>
  </si>
  <si>
    <t>14014 ROUTE 31</t>
  </si>
  <si>
    <t>(716) 882-1023</t>
  </si>
  <si>
    <t>3675 SOUTHWESTERN BLVD</t>
  </si>
  <si>
    <t>E0176254</t>
  </si>
  <si>
    <t>LAMPASSO JAMES G  MD</t>
  </si>
  <si>
    <t>LAMPASSO JAMES</t>
  </si>
  <si>
    <t>E0091589</t>
  </si>
  <si>
    <t>CHAUTAUQUA COUNTY MH</t>
  </si>
  <si>
    <t>CHAUTAUQUA CNTY MENTAL HEALTH</t>
  </si>
  <si>
    <t>E0346588</t>
  </si>
  <si>
    <t>O'MARA SARAH ANNE</t>
  </si>
  <si>
    <t>O'MARA SARAH</t>
  </si>
  <si>
    <t>E0137663</t>
  </si>
  <si>
    <t>LANDI MICHAEL K MD</t>
  </si>
  <si>
    <t>LANDI MICHAEL DR.</t>
  </si>
  <si>
    <t>E0107582</t>
  </si>
  <si>
    <t>WEGMAN THERESA M MD</t>
  </si>
  <si>
    <t>(716) 662-3443</t>
  </si>
  <si>
    <t>WEGMAN THERESA DR.</t>
  </si>
  <si>
    <t>24 CARROW ST</t>
  </si>
  <si>
    <t>E0023050</t>
  </si>
  <si>
    <t>OSMAN MAGDA GAMAL MD</t>
  </si>
  <si>
    <t>OSMAN MAGDA DR.</t>
  </si>
  <si>
    <t>6245 SHERIDAN DR</t>
  </si>
  <si>
    <t>E0080485</t>
  </si>
  <si>
    <t>ABBASI ISRAR A MD</t>
  </si>
  <si>
    <t>ABBASI ISRAR DR.</t>
  </si>
  <si>
    <t>E0104574</t>
  </si>
  <si>
    <t>HUGHES THOMAS FRANCIS</t>
  </si>
  <si>
    <t>(716) 626-5840</t>
  </si>
  <si>
    <t>HUGHES THOMAS</t>
  </si>
  <si>
    <t>RIVERSIDE FAM CARE</t>
  </si>
  <si>
    <t>E0126035</t>
  </si>
  <si>
    <t>CHAZEN MARK DAVID MD</t>
  </si>
  <si>
    <t>(716) 844-5000</t>
  </si>
  <si>
    <t>CHAZEN MARK MR.</t>
  </si>
  <si>
    <t>CHAZEN MARK DAVID</t>
  </si>
  <si>
    <t>E0203817</t>
  </si>
  <si>
    <t>SHEHATA NADY MD</t>
  </si>
  <si>
    <t>(716) 835-3097</t>
  </si>
  <si>
    <t>SHEHATA NADY DR.</t>
  </si>
  <si>
    <t>E0127880</t>
  </si>
  <si>
    <t>LEE-KWEN PETERKIN MD</t>
  </si>
  <si>
    <t>LEE-KWEN PETERKIN</t>
  </si>
  <si>
    <t>(716) 712-0890</t>
  </si>
  <si>
    <t>849 ROUTES 5 &amp; 20</t>
  </si>
  <si>
    <t>E0040559</t>
  </si>
  <si>
    <t>SALERNO KILIAN E MD</t>
  </si>
  <si>
    <t>SALERNO KILIAN</t>
  </si>
  <si>
    <t>SALERNO KILIAN ELIZABETH</t>
  </si>
  <si>
    <t>E0034263</t>
  </si>
  <si>
    <t>PRASAD DHEERENDRA MD</t>
  </si>
  <si>
    <t>PRASAD DHEERENDRA</t>
  </si>
  <si>
    <t>E0186271</t>
  </si>
  <si>
    <t>HAMBURG PEDIATRICS PC</t>
  </si>
  <si>
    <t>(716) 312-7400</t>
  </si>
  <si>
    <t>KRZAN JOHN</t>
  </si>
  <si>
    <t>KRZAN JOHN JOSEPH JR</t>
  </si>
  <si>
    <t>ORCHARD PK PED #A</t>
  </si>
  <si>
    <t>E0209846</t>
  </si>
  <si>
    <t>NIEMIEC EDWARD ROBERT      MD</t>
  </si>
  <si>
    <t>(716) 833-5100</t>
  </si>
  <si>
    <t>NIEMIEC EDWARD DR.</t>
  </si>
  <si>
    <t>495 INTL DRIVE</t>
  </si>
  <si>
    <t>HUNTLEY GARY</t>
  </si>
  <si>
    <t>326 ORCHARD PARK RD, SPECTRUM HUMAN SERVICES</t>
  </si>
  <si>
    <t>E0115759</t>
  </si>
  <si>
    <t>MARINIDES GEORGE N MD</t>
  </si>
  <si>
    <t>(716) 838-3188</t>
  </si>
  <si>
    <t>MARINIDES GEORGE</t>
  </si>
  <si>
    <t>E0339255</t>
  </si>
  <si>
    <t>ANDREA STURNIOLO PA</t>
  </si>
  <si>
    <t>CASTONGUAY ANDREA</t>
  </si>
  <si>
    <t>CASTONGUAY ANDREA RPA</t>
  </si>
  <si>
    <t>4949 HARLEM RD</t>
  </si>
  <si>
    <t>E0227223</t>
  </si>
  <si>
    <t>CURRAN RICHARD RUSSELL</t>
  </si>
  <si>
    <t>CURRAN RICHARD DR.</t>
  </si>
  <si>
    <t>E J MEYER MEMORIAL</t>
  </si>
  <si>
    <t>E0297200</t>
  </si>
  <si>
    <t>ATTUWAYBI BASHIR</t>
  </si>
  <si>
    <t>ATTUWAYBI BASHIR OMAR</t>
  </si>
  <si>
    <t>E0041239</t>
  </si>
  <si>
    <t>BERENJI FARID MD</t>
  </si>
  <si>
    <t>BERENJI FARID DR.</t>
  </si>
  <si>
    <t>E0353904</t>
  </si>
  <si>
    <t>RAJA QURATUL AIN</t>
  </si>
  <si>
    <t>RAJA QURATUL DR.</t>
  </si>
  <si>
    <t>504 CENTRAL AVE</t>
  </si>
  <si>
    <t>E0143205</t>
  </si>
  <si>
    <t>SAMADI DILARA E MD</t>
  </si>
  <si>
    <t>SAMADI DILARA DR.</t>
  </si>
  <si>
    <t>E0239563</t>
  </si>
  <si>
    <t>BUCK STEVEN H MD</t>
  </si>
  <si>
    <t>BUCK STEVEN DR.</t>
  </si>
  <si>
    <t>ASHTON NICOLE</t>
  </si>
  <si>
    <t>E0037555</t>
  </si>
  <si>
    <t>RASSMAN JEFFREY S RPA</t>
  </si>
  <si>
    <t>RASSMAN JEFFREY MR.</t>
  </si>
  <si>
    <t>E0229134</t>
  </si>
  <si>
    <t>CONTI DAVID R              MD</t>
  </si>
  <si>
    <t>CONTI DAVID R</t>
  </si>
  <si>
    <t>(716) 834-9486</t>
  </si>
  <si>
    <t>539 CLEVELAND DR</t>
  </si>
  <si>
    <t>E0175419</t>
  </si>
  <si>
    <t>SMOLINSKI ROBERT J  MD</t>
  </si>
  <si>
    <t>SMOLINSKI ROBERT</t>
  </si>
  <si>
    <t>SPORTS MEDICINE INST</t>
  </si>
  <si>
    <t>E0122826</t>
  </si>
  <si>
    <t>WELLS GASTROENTEROLOGY LLP</t>
  </si>
  <si>
    <t>(716) 834-6152</t>
  </si>
  <si>
    <t>WELLS THEODORE</t>
  </si>
  <si>
    <t>E0139209</t>
  </si>
  <si>
    <t>KRUTCHICK KAREN LYN MD</t>
  </si>
  <si>
    <t>(716) 675-7376</t>
  </si>
  <si>
    <t>KRUTCHICK KAREN</t>
  </si>
  <si>
    <t>KRUTCHICK KAREN LYN</t>
  </si>
  <si>
    <t>E0342843</t>
  </si>
  <si>
    <t>OWCZARZAK KATHERINE</t>
  </si>
  <si>
    <t>NEW DIRECTIONS YOUTH &amp; FAMILY SERVICES INC</t>
  </si>
  <si>
    <t>E0263817</t>
  </si>
  <si>
    <t>NEW DIRECTIONS YOUTH &amp; FAMILY SVCS</t>
  </si>
  <si>
    <t>356 MAIN ST</t>
  </si>
  <si>
    <t>E0011731</t>
  </si>
  <si>
    <t>BHATIA ASHISH MD</t>
  </si>
  <si>
    <t>(716) 859-1400</t>
  </si>
  <si>
    <t>BHATIA ASHISH</t>
  </si>
  <si>
    <t>5225 SHERIDAN DR</t>
  </si>
  <si>
    <t>E0159748</t>
  </si>
  <si>
    <t>MOSTERT MARCELLE A MD</t>
  </si>
  <si>
    <t>MOSTERT MARCELLE</t>
  </si>
  <si>
    <t>UNIV PSYCHIATRIC PRA</t>
  </si>
  <si>
    <t>All Other:: Nursing Home:: Pharmacy</t>
  </si>
  <si>
    <t>E0146626</t>
  </si>
  <si>
    <t>SEEBALD CATHLEEN A</t>
  </si>
  <si>
    <t>SEEBALD CATHLEEN</t>
  </si>
  <si>
    <t>(716) 681-9480</t>
  </si>
  <si>
    <t>E0170462</t>
  </si>
  <si>
    <t>BELLES WILLIAM JOHN MD</t>
  </si>
  <si>
    <t>(716) 838-1100</t>
  </si>
  <si>
    <t>BELLES WILLIAM DR.</t>
  </si>
  <si>
    <t>STE 154</t>
  </si>
  <si>
    <t>E0239460</t>
  </si>
  <si>
    <t>DEFRANCIS ROY DPM</t>
  </si>
  <si>
    <t>(716) 668-1610</t>
  </si>
  <si>
    <t>DEFRANCIS ROY</t>
  </si>
  <si>
    <t>570 FRENCH RD</t>
  </si>
  <si>
    <t>700 MICHIGAN AVE</t>
  </si>
  <si>
    <t>E0326183</t>
  </si>
  <si>
    <t>PEERZADA MAAJID M MD</t>
  </si>
  <si>
    <t>PEERZADA MAAJID DR.</t>
  </si>
  <si>
    <t>273 DIVISION ST</t>
  </si>
  <si>
    <t>951 NIAGARA ST</t>
  </si>
  <si>
    <t>E0339435</t>
  </si>
  <si>
    <t>MARTIN WILLIAM MATTHEW</t>
  </si>
  <si>
    <t>MARTIN WILLIAM</t>
  </si>
  <si>
    <t>E0137282</t>
  </si>
  <si>
    <t>CORCORAN AMY L</t>
  </si>
  <si>
    <t>CORCORAN AMY MS.</t>
  </si>
  <si>
    <t>15 MELROY AVE</t>
  </si>
  <si>
    <t>E0302713</t>
  </si>
  <si>
    <t>PYNE CLIFFORD CHARLES</t>
  </si>
  <si>
    <t>PYNE CLIFFORD MR.</t>
  </si>
  <si>
    <t>NORTHWEST COMMUNITY MENTAL HEALTH CENTER</t>
  </si>
  <si>
    <t>E0144351</t>
  </si>
  <si>
    <t>MH SVC ERIE NORTHWEST COR-SCM</t>
  </si>
  <si>
    <t>(716) 882-2127</t>
  </si>
  <si>
    <t>MH SVC ERIE NORTHWEST CORP I</t>
  </si>
  <si>
    <t>1300 NIAGARA ST</t>
  </si>
  <si>
    <t>(716) 276-9162</t>
  </si>
  <si>
    <t>3900 N BUFFALO ST</t>
  </si>
  <si>
    <t>E0037327</t>
  </si>
  <si>
    <t>BREWER THOMAS J MD</t>
  </si>
  <si>
    <t>BREWER THOMAS</t>
  </si>
  <si>
    <t>297 SPINDRIFT DR</t>
  </si>
  <si>
    <t>DELBELLO JULIE</t>
  </si>
  <si>
    <t>1280 MAIN ST, 3RD FLOOR</t>
  </si>
  <si>
    <t>E0235372</t>
  </si>
  <si>
    <t>MOORE MICHAEL C</t>
  </si>
  <si>
    <t>(716) 825-3601</t>
  </si>
  <si>
    <t>MOORE MICHAEL</t>
  </si>
  <si>
    <t>2943 SENECA ST</t>
  </si>
  <si>
    <t>MAY MINDI</t>
  </si>
  <si>
    <t>E0163734</t>
  </si>
  <si>
    <t>ANILLO SERGIO J MD</t>
  </si>
  <si>
    <t>ANILLO SERGIO</t>
  </si>
  <si>
    <t>ST VINCENTS STE 418</t>
  </si>
  <si>
    <t>E0014212</t>
  </si>
  <si>
    <t>CHENG YIJUN MD</t>
  </si>
  <si>
    <t>CHENG YIJUN</t>
  </si>
  <si>
    <t>3850 SAUNDERS SETTLEMENT RD</t>
  </si>
  <si>
    <t>HEJNA TEMPERANCE MS.</t>
  </si>
  <si>
    <t>E0100576</t>
  </si>
  <si>
    <t>CHADHA SUNITA MD</t>
  </si>
  <si>
    <t>CHADHA SUNITA</t>
  </si>
  <si>
    <t>PROMEDICUS HLTH GRP</t>
  </si>
  <si>
    <t>1263 DELAWARE AVE</t>
  </si>
  <si>
    <t>E0085825</t>
  </si>
  <si>
    <t>RAUH MICHAEL ALFRED MD</t>
  </si>
  <si>
    <t>RAUH MICHAEL DR.</t>
  </si>
  <si>
    <t>425 MICHIGAN AVE</t>
  </si>
  <si>
    <t>4855 CAMP RD</t>
  </si>
  <si>
    <t>E0291090</t>
  </si>
  <si>
    <t>LI XIULI</t>
  </si>
  <si>
    <t>LI XIULI DR.</t>
  </si>
  <si>
    <t>LI XIULI MD</t>
  </si>
  <si>
    <t>3980 SHERIDAN DR STE 200</t>
  </si>
  <si>
    <t>E0350468</t>
  </si>
  <si>
    <t>PEQUEEN THERESA</t>
  </si>
  <si>
    <t>PEQUEEN THERESA MISS</t>
  </si>
  <si>
    <t>E0211991</t>
  </si>
  <si>
    <t>TERRANOVA MICHAEL DAVID    MD</t>
  </si>
  <si>
    <t>(716) 684-6140</t>
  </si>
  <si>
    <t>TERRANOVA MICHAEL DR.</t>
  </si>
  <si>
    <t>TERRANOVA MICHAEL DAVID</t>
  </si>
  <si>
    <t>5330 GENESEE ST</t>
  </si>
  <si>
    <t>E0222059</t>
  </si>
  <si>
    <t>GAINES KATHERINE CALDWELL  MD</t>
  </si>
  <si>
    <t>GAINES KATHERINE</t>
  </si>
  <si>
    <t>E0145113</t>
  </si>
  <si>
    <t>FENSTERMAKER ROBERT MD</t>
  </si>
  <si>
    <t>FENSTERMAKER ROBERT</t>
  </si>
  <si>
    <t>ELM &amp; CARLTON STS</t>
  </si>
  <si>
    <t>2850 GRAND ISLAND BOULEVARD OPERATING COMPANY LLC</t>
  </si>
  <si>
    <t>E0396562</t>
  </si>
  <si>
    <t>2850 GRAND ISLAND BLVD OPERATING CO</t>
  </si>
  <si>
    <t>E0185914</t>
  </si>
  <si>
    <t>SAYEGH MAGDI E MD</t>
  </si>
  <si>
    <t>(716) 633-6363</t>
  </si>
  <si>
    <t>SAYEGH MAGDI DR.</t>
  </si>
  <si>
    <t>30 N UNION RD</t>
  </si>
  <si>
    <t>E0110141</t>
  </si>
  <si>
    <t>CHRZANOWSKI STEPHEN GERARD</t>
  </si>
  <si>
    <t>(716) 675-0707</t>
  </si>
  <si>
    <t>CHRZANOWSKI STEPHEN DR.</t>
  </si>
  <si>
    <t>NORWALK</t>
  </si>
  <si>
    <t>E0186883</t>
  </si>
  <si>
    <t>170 MARTIN RD</t>
  </si>
  <si>
    <t>LAKE SHORE BEHAVIORAL HEALTH, INC.</t>
  </si>
  <si>
    <t>E0232519</t>
  </si>
  <si>
    <t>LAKE SHORE BEHAVIORAL HLTH IN</t>
  </si>
  <si>
    <t>E0030439</t>
  </si>
  <si>
    <t>BLOOM PETER DONAL MD</t>
  </si>
  <si>
    <t>BLOOM PETER</t>
  </si>
  <si>
    <t>E0104228</t>
  </si>
  <si>
    <t>SEGAL BRAHM</t>
  </si>
  <si>
    <t>ACADEMIC MED SERV</t>
  </si>
  <si>
    <t>E0125534</t>
  </si>
  <si>
    <t>SANFILIPPO DIANE MARIE MD</t>
  </si>
  <si>
    <t>(716) 771-1995</t>
  </si>
  <si>
    <t>SANFILIPPO DIANE</t>
  </si>
  <si>
    <t>SANFILIPPO DIANE MARIE</t>
  </si>
  <si>
    <t>410 ABBOTT RD</t>
  </si>
  <si>
    <t>E0234376</t>
  </si>
  <si>
    <t>FUGITT ROBERT G            MD</t>
  </si>
  <si>
    <t>(716) 873-3828</t>
  </si>
  <si>
    <t>FUGITT ROBERT DR.</t>
  </si>
  <si>
    <t>FUGITT ROBERT G</t>
  </si>
  <si>
    <t>3800 DELAWARE AVE STE 104</t>
  </si>
  <si>
    <t>E0051037</t>
  </si>
  <si>
    <t>SHERON MOLLY</t>
  </si>
  <si>
    <t>57 DAVISON CT</t>
  </si>
  <si>
    <t>GILL DONNA</t>
  </si>
  <si>
    <t>E0234939</t>
  </si>
  <si>
    <t>TANHEHCO MELITON L         MD</t>
  </si>
  <si>
    <t>TANHEHCO MELITON</t>
  </si>
  <si>
    <t>2104 EGGERT RD</t>
  </si>
  <si>
    <t>E0191223</t>
  </si>
  <si>
    <t>NEUFELD ROBERT J     MD PC</t>
  </si>
  <si>
    <t>NEUFELD ROBERT</t>
  </si>
  <si>
    <t>E0149525</t>
  </si>
  <si>
    <t>GILBERT RICHARD N JR MD</t>
  </si>
  <si>
    <t>GILBERT RICHARD DR.</t>
  </si>
  <si>
    <t>GILBERT RICHARD NORMAN JR</t>
  </si>
  <si>
    <t>STE B100</t>
  </si>
  <si>
    <t>BOWER KAREN</t>
  </si>
  <si>
    <t>3023 ROUTE 430</t>
  </si>
  <si>
    <t>GREENHURST</t>
  </si>
  <si>
    <t>E0326231</t>
  </si>
  <si>
    <t>NEHME ELIE ANTOINE</t>
  </si>
  <si>
    <t>NEHME ELIE DR.</t>
  </si>
  <si>
    <t>2626 W STATE ST STE 2666</t>
  </si>
  <si>
    <t>E0007335</t>
  </si>
  <si>
    <t>GIUSEPPIHA JEAN KENYON SAVARD</t>
  </si>
  <si>
    <t>KENYON SAVARD GIUSEPPINA MRS.</t>
  </si>
  <si>
    <t>(716) 332-1644</t>
  </si>
  <si>
    <t>KENYON SAVARD GIUSEPPINA JEAN DO</t>
  </si>
  <si>
    <t>7350 PORTER ROAD</t>
  </si>
  <si>
    <t>JEFFREY BREANNE MRS.</t>
  </si>
  <si>
    <t>100 CORPORATE PKWY, SUITE 112</t>
  </si>
  <si>
    <t>E0114383</t>
  </si>
  <si>
    <t>EHLENFIELD DARYL R MD</t>
  </si>
  <si>
    <t>EHLENFIELD DARYL</t>
  </si>
  <si>
    <t>(716) 652-8606</t>
  </si>
  <si>
    <t>E0145127</t>
  </si>
  <si>
    <t>BOTSOGLOU NIKOLAOS K MD</t>
  </si>
  <si>
    <t>(716) 896-5922</t>
  </si>
  <si>
    <t>BOTSOGLOU NIKOLAOS DR.</t>
  </si>
  <si>
    <t>2475 HARLEM RD</t>
  </si>
  <si>
    <t>E0236512</t>
  </si>
  <si>
    <t>SIRKIN SARA RACHEL G       MD</t>
  </si>
  <si>
    <t>(716) 836-8700</t>
  </si>
  <si>
    <t>SIRKIN SARA DR.</t>
  </si>
  <si>
    <t>2441 SHERIDAN DR</t>
  </si>
  <si>
    <t>E0134274</t>
  </si>
  <si>
    <t>SHAFIK IHAB MAHMOUD MD</t>
  </si>
  <si>
    <t>SHAFIK IHAB DR.</t>
  </si>
  <si>
    <t>E0140720</t>
  </si>
  <si>
    <t>KIM CHEE HOON MD</t>
  </si>
  <si>
    <t>KIM CHEE DR.</t>
  </si>
  <si>
    <t>STUART ALICA MISS</t>
  </si>
  <si>
    <t>BUFFALO PSYCHIATRIC CENTER ACT TEAM</t>
  </si>
  <si>
    <t>E0003191</t>
  </si>
  <si>
    <t>0373970A/ACT</t>
  </si>
  <si>
    <t>TENDER LOVING FAMILY CARE, INC.</t>
  </si>
  <si>
    <t>97 WEST AVE</t>
  </si>
  <si>
    <t>E0363107</t>
  </si>
  <si>
    <t>GODZALA MICHAEL EDWARD</t>
  </si>
  <si>
    <t>GODZALA MICHAEL DR.</t>
  </si>
  <si>
    <t>1010 MAIN ST</t>
  </si>
  <si>
    <t>RIDGE VIEW MANOR LLC</t>
  </si>
  <si>
    <t>E0219549</t>
  </si>
  <si>
    <t>RIDGE VIEW MANOR</t>
  </si>
  <si>
    <t>300 DORRANCE AVE</t>
  </si>
  <si>
    <t>E0072787</t>
  </si>
  <si>
    <t>KARASZEWSKI BRIAN</t>
  </si>
  <si>
    <t>KARASZEWSKI BRIAN DR.</t>
  </si>
  <si>
    <t>KARASZEWSKI BRIAN MICHAEL</t>
  </si>
  <si>
    <t>400 INTERNATIONAL DRIVE</t>
  </si>
  <si>
    <t>E0298995</t>
  </si>
  <si>
    <t>MERLINO TALIA GRACE RPA</t>
  </si>
  <si>
    <t>SZYMANSKI TALIA</t>
  </si>
  <si>
    <t>SZYMANSKI TALIA GRACE RPA</t>
  </si>
  <si>
    <t>3671 SOUTHWESTERN BLVD STE 207</t>
  </si>
  <si>
    <t>E0185498</t>
  </si>
  <si>
    <t>GUTH KENNETH J MD</t>
  </si>
  <si>
    <t>GUTH KENNETH DR.</t>
  </si>
  <si>
    <t>GUTH KENNETH JOSEPH</t>
  </si>
  <si>
    <t>3320 N BENZING RD</t>
  </si>
  <si>
    <t>ERIE CTY MED CTR</t>
  </si>
  <si>
    <t>E0004544</t>
  </si>
  <si>
    <t>MELENDEZ RICARDO</t>
  </si>
  <si>
    <t>MELENDEZ RICARDO MR.</t>
  </si>
  <si>
    <t>MELENDEZ RICARDO CORDOVA</t>
  </si>
  <si>
    <t>(716) 828-2568</t>
  </si>
  <si>
    <t>E0298206</t>
  </si>
  <si>
    <t>SCHWAAB THOMAS</t>
  </si>
  <si>
    <t>E0356236</t>
  </si>
  <si>
    <t>FASANELLO JOSEPH FRANCIS</t>
  </si>
  <si>
    <t>FASANELLO JOSEPH DR.</t>
  </si>
  <si>
    <t>4154 MCKINLEY PKWY STE 275</t>
  </si>
  <si>
    <t>BLASDELL</t>
  </si>
  <si>
    <t>(716) 675-0616</t>
  </si>
  <si>
    <t>E0228605</t>
  </si>
  <si>
    <t>BRASS CORSTIAAN            MD</t>
  </si>
  <si>
    <t>BRASS CORSTIAAN DR.</t>
  </si>
  <si>
    <t>BRASS CORSTIAAN  MD</t>
  </si>
  <si>
    <t>E0227501</t>
  </si>
  <si>
    <t>EGGLESTON GARY E MD</t>
  </si>
  <si>
    <t>EGGLESTON GARY DR.</t>
  </si>
  <si>
    <t>EGGLESTON GARY E  MD</t>
  </si>
  <si>
    <t>E0158219</t>
  </si>
  <si>
    <t>GRECO JOSEPH M MD</t>
  </si>
  <si>
    <t>GRECO JOSEPH DR.</t>
  </si>
  <si>
    <t>GRECO JOSEPH M</t>
  </si>
  <si>
    <t>AMHERST UROLOGY PC</t>
  </si>
  <si>
    <t>E0175243</t>
  </si>
  <si>
    <t>SCHUELER WILLIAM C  DO</t>
  </si>
  <si>
    <t>(716) 839-8000</t>
  </si>
  <si>
    <t>SCHUELER WILLIAM</t>
  </si>
  <si>
    <t>CLEVELAND HILL MED G</t>
  </si>
  <si>
    <t>VARGA MARGARET</t>
  </si>
  <si>
    <t>E0348298</t>
  </si>
  <si>
    <t>YACOB GABRIEL E</t>
  </si>
  <si>
    <t>YACOB GABRIEL</t>
  </si>
  <si>
    <t>E0304885</t>
  </si>
  <si>
    <t>CLARK LINDSEY DOLAN</t>
  </si>
  <si>
    <t>CLARK LINDSEY DR.</t>
  </si>
  <si>
    <t>E0011424</t>
  </si>
  <si>
    <t>LANA ROSANN L MD</t>
  </si>
  <si>
    <t>LANA ROSANN DR.</t>
  </si>
  <si>
    <t>COMMUNITY SERVICES FOR THE DEVELOPMENTALLY DISABLED, INC</t>
  </si>
  <si>
    <t>(716) 883-8888</t>
  </si>
  <si>
    <t>452 DELAWARE AVE</t>
  </si>
  <si>
    <t>8207 MAIN ST</t>
  </si>
  <si>
    <t>E0229118</t>
  </si>
  <si>
    <t>TUOTI RAYMOND JOSEPH MD</t>
  </si>
  <si>
    <t>TUOTI RAYMOND</t>
  </si>
  <si>
    <t>E0067876</t>
  </si>
  <si>
    <t>SYTA MARGARET MARY</t>
  </si>
  <si>
    <t>SYTA MARGARET</t>
  </si>
  <si>
    <t>E0165780</t>
  </si>
  <si>
    <t>WEISSMAN MARK A MD</t>
  </si>
  <si>
    <t>WEISSMAN MARK</t>
  </si>
  <si>
    <t>5532 BROADWAY ST</t>
  </si>
  <si>
    <t>MCCULLOUGH KECIA</t>
  </si>
  <si>
    <t>FAZZINO JEFFREY MR.</t>
  </si>
  <si>
    <t>E0035040</t>
  </si>
  <si>
    <t>LAUFFER ANGELINA MARIA</t>
  </si>
  <si>
    <t>RYAN ANGELINA</t>
  </si>
  <si>
    <t>RYAN ANGELINA MARIA RPA</t>
  </si>
  <si>
    <t>E0158723</t>
  </si>
  <si>
    <t>SPANGENTHAL EDWARD J MD</t>
  </si>
  <si>
    <t>SPANGENTHAL EDWARD</t>
  </si>
  <si>
    <t>BUFFALO CARDIOL PULM</t>
  </si>
  <si>
    <t>E0203866</t>
  </si>
  <si>
    <t>JAIN NARESH K              MD</t>
  </si>
  <si>
    <t>(716) 285-1133</t>
  </si>
  <si>
    <t>JAIN NARESH DR.</t>
  </si>
  <si>
    <t>STE 710</t>
  </si>
  <si>
    <t>6937 WILLIAMS RD</t>
  </si>
  <si>
    <t>(716) 218-1400</t>
  </si>
  <si>
    <t>E0237804</t>
  </si>
  <si>
    <t>NIAGARA CNTY MNTL HLTH LCKPRT</t>
  </si>
  <si>
    <t>(716) 439-7410</t>
  </si>
  <si>
    <t>E0232792</t>
  </si>
  <si>
    <t>PERILLO FRANK B DPM</t>
  </si>
  <si>
    <t>(716) 838-1131</t>
  </si>
  <si>
    <t>PERILLO FRANK</t>
  </si>
  <si>
    <t>1431 HERTEL AVE</t>
  </si>
  <si>
    <t>E0343249</t>
  </si>
  <si>
    <t>LATONA MARLENE K</t>
  </si>
  <si>
    <t>LATONA MARLENE</t>
  </si>
  <si>
    <t>LOWER W.SIDE CL</t>
  </si>
  <si>
    <t>E0332947</t>
  </si>
  <si>
    <t>RUTKOWSKI JOHN M MD</t>
  </si>
  <si>
    <t>RUTKOWSKI JOHN DR.</t>
  </si>
  <si>
    <t>METZGER MARK</t>
  </si>
  <si>
    <t>E0157976</t>
  </si>
  <si>
    <t>VENTRESCA EDWARD MD</t>
  </si>
  <si>
    <t>VENTRESCA EDWARD DR.</t>
  </si>
  <si>
    <t>E0049546</t>
  </si>
  <si>
    <t>ZHANG LIXIN MD</t>
  </si>
  <si>
    <t>ZHANG LIXIN</t>
  </si>
  <si>
    <t>SUITE 200 DENT NEURO</t>
  </si>
  <si>
    <t>E0164686</t>
  </si>
  <si>
    <t>HADDAD GEORGE ANIS MD</t>
  </si>
  <si>
    <t>(716) 876-3737</t>
  </si>
  <si>
    <t>HADDAD GEORGE</t>
  </si>
  <si>
    <t>HADDAD GEORGE ANIS</t>
  </si>
  <si>
    <t>3800 DELAWARE AVE</t>
  </si>
  <si>
    <t>E0100930</t>
  </si>
  <si>
    <t>NWOGU CHUKWUMERE</t>
  </si>
  <si>
    <t>RPCI CLINICAL PRAC</t>
  </si>
  <si>
    <t>E0230967</t>
  </si>
  <si>
    <t>MASUD A R ZAKI             MD</t>
  </si>
  <si>
    <t>MASUD A R</t>
  </si>
  <si>
    <t>3915 SHERIDAN DR</t>
  </si>
  <si>
    <t>E0194125</t>
  </si>
  <si>
    <t>GLOVER ROBERT FRANKLIN JR MD</t>
  </si>
  <si>
    <t>GLOVER ROBERT DR.</t>
  </si>
  <si>
    <t>GLOVER ROBERT FRANKLIN JR</t>
  </si>
  <si>
    <t>GATES CIRCLE HEART G</t>
  </si>
  <si>
    <t>E0181547</t>
  </si>
  <si>
    <t>HURLEY JOHN P DPM</t>
  </si>
  <si>
    <t>HURLEY JOHN</t>
  </si>
  <si>
    <t>HURLEY JOHN PATRICK</t>
  </si>
  <si>
    <t>E0067566</t>
  </si>
  <si>
    <t>KANE JOHN MD</t>
  </si>
  <si>
    <t>KANE JOHN</t>
  </si>
  <si>
    <t>E0187396</t>
  </si>
  <si>
    <t>LELE SHASHIKANT B MD</t>
  </si>
  <si>
    <t>LELE SHASHIKANT</t>
  </si>
  <si>
    <t>E0195070</t>
  </si>
  <si>
    <t>ROSA COPLON JEWISH H&amp;I LTHHCP</t>
  </si>
  <si>
    <t>(716) 639-3311</t>
  </si>
  <si>
    <t>ROSA COPLONJEWISH HOME AND INFIRMARY</t>
  </si>
  <si>
    <t>2700 N FOREST RD</t>
  </si>
  <si>
    <t>E0321968</t>
  </si>
  <si>
    <t>SILVA MELITON</t>
  </si>
  <si>
    <t>(716) 837-9111</t>
  </si>
  <si>
    <t>SILVA MELITON DR.</t>
  </si>
  <si>
    <t>SILVA MELITON B</t>
  </si>
  <si>
    <t>4231 MAPLE RD</t>
  </si>
  <si>
    <t>E0325488</t>
  </si>
  <si>
    <t>AL-HUMADI MOHANED</t>
  </si>
  <si>
    <t>AL-HUMADI MOHANED DR.</t>
  </si>
  <si>
    <t>E0079837</t>
  </si>
  <si>
    <t>PANTANO JOANNE ELYSE</t>
  </si>
  <si>
    <t>PANTANO JOANNE</t>
  </si>
  <si>
    <t>STE B103</t>
  </si>
  <si>
    <t>E0196627</t>
  </si>
  <si>
    <t>KORITZ SARA                MD</t>
  </si>
  <si>
    <t>KORITZ SARA DR.</t>
  </si>
  <si>
    <t>60 E 208TH ST</t>
  </si>
  <si>
    <t>E0186940</t>
  </si>
  <si>
    <t>HONG FREDERICK MD</t>
  </si>
  <si>
    <t>HONG FREDERICK</t>
  </si>
  <si>
    <t>45 SPRINDRIFT DR</t>
  </si>
  <si>
    <t>E0121886</t>
  </si>
  <si>
    <t>ALBERICO RONALD A  MD</t>
  </si>
  <si>
    <t>ALBERICO RONALD</t>
  </si>
  <si>
    <t>E0126561</t>
  </si>
  <si>
    <t>ROSS MAUREEN MD</t>
  </si>
  <si>
    <t>ROSS MAUREEN</t>
  </si>
  <si>
    <t>E0148028</t>
  </si>
  <si>
    <t>ZUCCALA SCOTT JEFFREY DO</t>
  </si>
  <si>
    <t>ZUCCALA SCOTT DR.</t>
  </si>
  <si>
    <t>ZUCCALA SCOTT JEFFREY</t>
  </si>
  <si>
    <t>450 CENTRAL AVE</t>
  </si>
  <si>
    <t>E0021653</t>
  </si>
  <si>
    <t>DARLING SCOTT ROBERT MD</t>
  </si>
  <si>
    <t>DARLING SCOTT DR.</t>
  </si>
  <si>
    <t>E0026090</t>
  </si>
  <si>
    <t>WHEELER LISA MARIE</t>
  </si>
  <si>
    <t>WHEELER LISA</t>
  </si>
  <si>
    <t>2365 UNION RD</t>
  </si>
  <si>
    <t>E0287058</t>
  </si>
  <si>
    <t>MATTSON DAVID MICHAEL KAWANANAKOA</t>
  </si>
  <si>
    <t>MATTSON DAVID</t>
  </si>
  <si>
    <t>E0022669</t>
  </si>
  <si>
    <t>WILLIAMS EMILY FLEMING MD</t>
  </si>
  <si>
    <t>WILLIAMS EMILY</t>
  </si>
  <si>
    <t>WILLIAMS EMILY MD</t>
  </si>
  <si>
    <t>E0015636</t>
  </si>
  <si>
    <t>SCAROZZA JENNIFER R</t>
  </si>
  <si>
    <t>SCAROZZA JENNIFER DR.</t>
  </si>
  <si>
    <t>301 CAYUGA RD STE 201</t>
  </si>
  <si>
    <t>E0308619</t>
  </si>
  <si>
    <t>FABIANO ANDREW JOSEPH</t>
  </si>
  <si>
    <t>FABIANO ANDREW</t>
  </si>
  <si>
    <t>5775 MAELOU DRIVE OPERATING COMPANY LLC</t>
  </si>
  <si>
    <t>E0396500</t>
  </si>
  <si>
    <t>5775 MAELOU DRIVE OPERATING COMPANY</t>
  </si>
  <si>
    <t>E0354683</t>
  </si>
  <si>
    <t>BURKE MEGAN ELIZABETH</t>
  </si>
  <si>
    <t>BURKE MEGAN</t>
  </si>
  <si>
    <t>E0068521</t>
  </si>
  <si>
    <t>IPPOLITO CALOGERO MARIO MD</t>
  </si>
  <si>
    <t>IPPOLITO CALOGERO DR.</t>
  </si>
  <si>
    <t>IPPOLITO CALOGERO MARIO</t>
  </si>
  <si>
    <t>E0139976</t>
  </si>
  <si>
    <t>CHAN-LAM PATRICK D MD</t>
  </si>
  <si>
    <t>CHAN-LAM PATRICK</t>
  </si>
  <si>
    <t>E0223120</t>
  </si>
  <si>
    <t>CHOUCHANI ADEL E           MD</t>
  </si>
  <si>
    <t>CHOUCHANI ADEL DR.</t>
  </si>
  <si>
    <t>CHOUCHANI ADEL E</t>
  </si>
  <si>
    <t>385 CLEVELAND DR</t>
  </si>
  <si>
    <t>350 ALBERTA DR</t>
  </si>
  <si>
    <t>E0362925</t>
  </si>
  <si>
    <t>AJAY NARHARI PANCHAL</t>
  </si>
  <si>
    <t>PANCHAL AJAY DR.</t>
  </si>
  <si>
    <t>350 ALBERTA DR STE 205</t>
  </si>
  <si>
    <t>ERIE COUNTY DEPT. OF HEALTH</t>
  </si>
  <si>
    <t>95 FRANKLIN ST, ROOM 911</t>
  </si>
  <si>
    <t>1818 COMO PARK BOULEVARD OPERATING COMPANY LLC</t>
  </si>
  <si>
    <t>E0372245</t>
  </si>
  <si>
    <t>1818 COMO PARK BLVD OPERATING</t>
  </si>
  <si>
    <t>1818 COMO PARK BLVD</t>
  </si>
  <si>
    <t>1503 MILITARY RD</t>
  </si>
  <si>
    <t>E0053999</t>
  </si>
  <si>
    <t>SHERRIS DAVID ALLEN</t>
  </si>
  <si>
    <t>(716) 884-5102</t>
  </si>
  <si>
    <t>SHERRIS DAVID</t>
  </si>
  <si>
    <t>E0044062</t>
  </si>
  <si>
    <t>PIETRANTONI CELESTINO MD</t>
  </si>
  <si>
    <t>PIETRANTONI CELESTINO</t>
  </si>
  <si>
    <t>E0327594</t>
  </si>
  <si>
    <t>ROJAS LUISA F MD</t>
  </si>
  <si>
    <t>ROJAS LUISA</t>
  </si>
  <si>
    <t>E0296934</t>
  </si>
  <si>
    <t>GOTHGEN NICOLE MARIE MD</t>
  </si>
  <si>
    <t>GOTHGEN NICOLE DR.</t>
  </si>
  <si>
    <t>E0308983</t>
  </si>
  <si>
    <t>RACHALA SRIDHAR REDDY</t>
  </si>
  <si>
    <t>RACHALA SRIDHAR</t>
  </si>
  <si>
    <t>(716) 947-5857</t>
  </si>
  <si>
    <t>ERIE CO ARC HERITAGE CT DAY</t>
  </si>
  <si>
    <t>E0030267</t>
  </si>
  <si>
    <t>NYS ARC INC CATTARAUG DAY</t>
  </si>
  <si>
    <t>E0030040</t>
  </si>
  <si>
    <t>E0238965</t>
  </si>
  <si>
    <t>LILLIE DAVID B             MD</t>
  </si>
  <si>
    <t>LILLIE DAVID DR.</t>
  </si>
  <si>
    <t>LILLIE DAVID B</t>
  </si>
  <si>
    <t>E0285719</t>
  </si>
  <si>
    <t>GAGLIARDO ANTHONY JOHN</t>
  </si>
  <si>
    <t>GAGLIARDO ANTHONY</t>
  </si>
  <si>
    <t>550 ORCHARD PARK RD STE A105</t>
  </si>
  <si>
    <t>300 NIAGARA ST</t>
  </si>
  <si>
    <t>GARRISON TRACY</t>
  </si>
  <si>
    <t>3 GATES CIRCLE</t>
  </si>
  <si>
    <t>E0349003</t>
  </si>
  <si>
    <t>YOUNG PAUL RAYMOND</t>
  </si>
  <si>
    <t>YOUNG PAUL</t>
  </si>
  <si>
    <t>4955 N BAILEY AVE STE 202</t>
  </si>
  <si>
    <t>E0040446</t>
  </si>
  <si>
    <t>SAMUEL SAM J MD</t>
  </si>
  <si>
    <t>SAMUEL SAM DR.</t>
  </si>
  <si>
    <t>7020 ERIE RD</t>
  </si>
  <si>
    <t>E0085220</t>
  </si>
  <si>
    <t>ODUNSI ADEKUNLE MD</t>
  </si>
  <si>
    <t>ODUNSI ADEKUNLE</t>
  </si>
  <si>
    <t>RPCI CLINIC PRACTICE</t>
  </si>
  <si>
    <t>M FILLMORE HOSP</t>
  </si>
  <si>
    <t>E0225023</t>
  </si>
  <si>
    <t>SIDDIQUI MOHAMED YUSUF A   MD</t>
  </si>
  <si>
    <t>(716) 838-8488</t>
  </si>
  <si>
    <t>SIDDIQUI YUSUF MR.</t>
  </si>
  <si>
    <t>E0159342</t>
  </si>
  <si>
    <t>CHAUTAUQUA HOSPICE AND PALLIATIVE</t>
  </si>
  <si>
    <t>(716) 338-0033</t>
  </si>
  <si>
    <t>CHAUTAUQUA HOSPICE AND PALLIATIVE CARE</t>
  </si>
  <si>
    <t>20 W FAIRMOUNT AVE</t>
  </si>
  <si>
    <t>E0007867</t>
  </si>
  <si>
    <t>KAUFMAN CORINE SEBAST</t>
  </si>
  <si>
    <t>CICCHETTI CORINE DR.</t>
  </si>
  <si>
    <t>CICCHETTI CORINE SEBAST MD</t>
  </si>
  <si>
    <t>ELM AND CARLTON STREETS</t>
  </si>
  <si>
    <t>E0203361</t>
  </si>
  <si>
    <t>WHEELER DALE ROBERT        MD</t>
  </si>
  <si>
    <t>WHEELER DALE</t>
  </si>
  <si>
    <t>E0011708</t>
  </si>
  <si>
    <t>SWIENCICKI JR JAMES MD</t>
  </si>
  <si>
    <t>SWIENCICKI JAMES DR.</t>
  </si>
  <si>
    <t>SWIENCICKI JAMES FRANCIS JR</t>
  </si>
  <si>
    <t>1829 MAPLE RD</t>
  </si>
  <si>
    <t>E0010446</t>
  </si>
  <si>
    <t>POMAKOV OGNIAN  MD</t>
  </si>
  <si>
    <t>POMAKOV OGNIAN</t>
  </si>
  <si>
    <t>E0231479</t>
  </si>
  <si>
    <t>SCHULMAN ROBERT J          MD</t>
  </si>
  <si>
    <t>SCHULMAN ROBERT</t>
  </si>
  <si>
    <t>E0071381</t>
  </si>
  <si>
    <t>BUCZKOWSKI GLENN ROBERT RPA</t>
  </si>
  <si>
    <t>BUCZKOWSKI GLENN</t>
  </si>
  <si>
    <t>(716) 875-6700</t>
  </si>
  <si>
    <t>E0370325</t>
  </si>
  <si>
    <t>HANNON MAUREEN</t>
  </si>
  <si>
    <t>HANNON MAUREEN MCDONALD</t>
  </si>
  <si>
    <t>E0364518</t>
  </si>
  <si>
    <t>WLODAREK BETH R</t>
  </si>
  <si>
    <t>WLODAREK BETH</t>
  </si>
  <si>
    <t>E0049660</t>
  </si>
  <si>
    <t>LINDFIELD VIVIAN LESLIE MD</t>
  </si>
  <si>
    <t>(716) 632-7465</t>
  </si>
  <si>
    <t>LINDFIELD VIVIAN DR.</t>
  </si>
  <si>
    <t>E0003064</t>
  </si>
  <si>
    <t>MA WEN WEE MD</t>
  </si>
  <si>
    <t>MA WEN WEE</t>
  </si>
  <si>
    <t>MENTAL HEALTH SERVICES OF ERIE COUNTY, SOUTHEAST CORP V</t>
  </si>
  <si>
    <t>E0063156</t>
  </si>
  <si>
    <t>MENTAL HEALTH SERV SE CORP V</t>
  </si>
  <si>
    <t>1280 MAIN ST LOWER LEVEL</t>
  </si>
  <si>
    <t>E0235861</t>
  </si>
  <si>
    <t>WILD DANIEL R              MD</t>
  </si>
  <si>
    <t>WILD DANIEL DR.</t>
  </si>
  <si>
    <t>BGH ORTHOPEDIC SERV</t>
  </si>
  <si>
    <t>E0191020</t>
  </si>
  <si>
    <t>BARNES STEVEN EDMUND</t>
  </si>
  <si>
    <t>BARNES STEVEN DR.</t>
  </si>
  <si>
    <t>E0043756</t>
  </si>
  <si>
    <t>REIMER TARA LIN MD</t>
  </si>
  <si>
    <t>REIMER TARA DR.</t>
  </si>
  <si>
    <t>E0231938</t>
  </si>
  <si>
    <t>RASALINGAM M               MD</t>
  </si>
  <si>
    <t>(716) 677-0038</t>
  </si>
  <si>
    <t>RASALINGAM MAITHRIDEVI</t>
  </si>
  <si>
    <t>2026 ABBOTT RD</t>
  </si>
  <si>
    <t>E0068335</t>
  </si>
  <si>
    <t>GHOSH SUBRATO MD</t>
  </si>
  <si>
    <t>GHOSH SUBRATO DR.</t>
  </si>
  <si>
    <t>SISTER OF CHARTY HOS</t>
  </si>
  <si>
    <t>E0005563</t>
  </si>
  <si>
    <t>WEHR MATTHEW D MD</t>
  </si>
  <si>
    <t>WEHR MATTHEW</t>
  </si>
  <si>
    <t>WEHR MATTHEW DAVID</t>
  </si>
  <si>
    <t>138 EAST MAIN ST</t>
  </si>
  <si>
    <t>E0242745</t>
  </si>
  <si>
    <t>PLATT BRUCE L MD</t>
  </si>
  <si>
    <t>(716) 834-3278</t>
  </si>
  <si>
    <t>PLATT BRUCE</t>
  </si>
  <si>
    <t>E0228380</t>
  </si>
  <si>
    <t>CONLEY JAMES GEORGE        MD</t>
  </si>
  <si>
    <t>CONLEY JAMES DR.</t>
  </si>
  <si>
    <t>E0022513</t>
  </si>
  <si>
    <t>DUFF MICHAEL MD</t>
  </si>
  <si>
    <t>DUFF MICHAEL DR.</t>
  </si>
  <si>
    <t>DUFF MICHAEL</t>
  </si>
  <si>
    <t>E0037970</t>
  </si>
  <si>
    <t>FALKNER CATHERINE MARIE MD</t>
  </si>
  <si>
    <t>FALKNER CATHERINE</t>
  </si>
  <si>
    <t>268 W MAIN ST</t>
  </si>
  <si>
    <t>CANTALICIAN CENTER FOR LEARNING, INC.</t>
  </si>
  <si>
    <t>E0316314</t>
  </si>
  <si>
    <t>CANTALICIAN CENTER FOR LEARNING INC</t>
  </si>
  <si>
    <t>E0194655</t>
  </si>
  <si>
    <t>KASNICKI LAURIE            MD</t>
  </si>
  <si>
    <t>(716) 995-8801</t>
  </si>
  <si>
    <t>KASNICKI LAURIE</t>
  </si>
  <si>
    <t>KIDS ALLIANCE</t>
  </si>
  <si>
    <t>6950 WILLIAMS RD</t>
  </si>
  <si>
    <t>(716) 701-3398</t>
  </si>
  <si>
    <t>E0354392</t>
  </si>
  <si>
    <t>WANG YUBAO</t>
  </si>
  <si>
    <t>WANG YUBAO DR.</t>
  </si>
  <si>
    <t>45 SPINDRIFT DR STE 100</t>
  </si>
  <si>
    <t>E0338441</t>
  </si>
  <si>
    <t>LAURA FORD-MUKKAMALA</t>
  </si>
  <si>
    <t>FORD-MUKKAMALA LAURA</t>
  </si>
  <si>
    <t>3345 SOUTHWESTERN BLVD STE 304</t>
  </si>
  <si>
    <t>E0295897</t>
  </si>
  <si>
    <t>CHEN HONGBIN</t>
  </si>
  <si>
    <t>E0232629</t>
  </si>
  <si>
    <t>BUCKLEY RICHARD J JR MD</t>
  </si>
  <si>
    <t>BUCKLEY RICHARD DR.</t>
  </si>
  <si>
    <t>E0175242</t>
  </si>
  <si>
    <t>KUEHNLING WILLIAM ROBERT  MD</t>
  </si>
  <si>
    <t>KUEHNLING WILLIAM</t>
  </si>
  <si>
    <t>KUEHNLING WILLIAM ROBERT</t>
  </si>
  <si>
    <t>HARRIS HILL FAM MED</t>
  </si>
  <si>
    <t>E0287952</t>
  </si>
  <si>
    <t>TAYLOR KAREN ANNE RPA</t>
  </si>
  <si>
    <t>TAYLOR KAREN</t>
  </si>
  <si>
    <t>268 MAIN ST</t>
  </si>
  <si>
    <t>E0195400</t>
  </si>
  <si>
    <t>WEISS STEVEN D             MD</t>
  </si>
  <si>
    <t>WEISS STEVEN DR.</t>
  </si>
  <si>
    <t>E0082673</t>
  </si>
  <si>
    <t>TROCK DANIEL MD</t>
  </si>
  <si>
    <t>TROCK DANIEL DR.</t>
  </si>
  <si>
    <t>E0115698</t>
  </si>
  <si>
    <t>CYWINSKI MATTHEW J MD</t>
  </si>
  <si>
    <t>CYWINSKI MATTHEW DR.</t>
  </si>
  <si>
    <t>E0161695</t>
  </si>
  <si>
    <t>ANAIN SHIRLEY A MD</t>
  </si>
  <si>
    <t>(716) 838-1333</t>
  </si>
  <si>
    <t>ANAIN SHIRLEY DR.</t>
  </si>
  <si>
    <t>4949 HARLEM RD STE 302</t>
  </si>
  <si>
    <t>E0192405</t>
  </si>
  <si>
    <t>POLISOTO THOMAS DANIEL MD</t>
  </si>
  <si>
    <t>POLISOTO THOMAS</t>
  </si>
  <si>
    <t>ERIE CO MED CENTER</t>
  </si>
  <si>
    <t>E0043709</t>
  </si>
  <si>
    <t>SHEIKH TARIQ AZIZ MD</t>
  </si>
  <si>
    <t>SHEIKH TARIQ</t>
  </si>
  <si>
    <t>E0192164</t>
  </si>
  <si>
    <t>KASHIN JEFFREY D MD</t>
  </si>
  <si>
    <t>KASHIN JEFFREY</t>
  </si>
  <si>
    <t>E0215928</t>
  </si>
  <si>
    <t>NASCA PAUL C DPM</t>
  </si>
  <si>
    <t>(716) 683-3330</t>
  </si>
  <si>
    <t>NASCA PAUL</t>
  </si>
  <si>
    <t>2562 WALDEN AVE STE  105</t>
  </si>
  <si>
    <t>E0336859</t>
  </si>
  <si>
    <t>AKERS STACEY NICOLE</t>
  </si>
  <si>
    <t>AKERS STACEY</t>
  </si>
  <si>
    <t>E0142905</t>
  </si>
  <si>
    <t>GUPTA SANJAY MD</t>
  </si>
  <si>
    <t>GUPTA SANJAY DR.</t>
  </si>
  <si>
    <t>2221 W STATE ST</t>
  </si>
  <si>
    <t>E0152216</t>
  </si>
  <si>
    <t>NAUGHTON BRUCE J MD</t>
  </si>
  <si>
    <t>NAUGHTON BRUCE</t>
  </si>
  <si>
    <t>E0049883</t>
  </si>
  <si>
    <t>CIECHOSKI MARY J</t>
  </si>
  <si>
    <t>CIECHOSKI MARY MS.</t>
  </si>
  <si>
    <t>E0177288</t>
  </si>
  <si>
    <t>CARLSON RICHARD A JR MD</t>
  </si>
  <si>
    <t>CARLSON JR RICHARD DR.</t>
  </si>
  <si>
    <t>E0192293</t>
  </si>
  <si>
    <t>LEBERER JOSEPH P MD</t>
  </si>
  <si>
    <t>LEBERER JOSEPH DR.</t>
  </si>
  <si>
    <t>3140 SHERIDAN DR</t>
  </si>
  <si>
    <t>E0158713</t>
  </si>
  <si>
    <t>CZAJKA GREGORY ALLAN</t>
  </si>
  <si>
    <t>CZAJKA GREGORY</t>
  </si>
  <si>
    <t>E0085875</t>
  </si>
  <si>
    <t>POLLINA JOHN MD</t>
  </si>
  <si>
    <t>POLLINA JOHN</t>
  </si>
  <si>
    <t>KALEIDA</t>
  </si>
  <si>
    <t>E0065705</t>
  </si>
  <si>
    <t>LAPLANTE BRIAN PATRICK RPA</t>
  </si>
  <si>
    <t>LAPLANTE BRIAN MR.</t>
  </si>
  <si>
    <t>E0196909</t>
  </si>
  <si>
    <t>ELLIS NITZA F              MD</t>
  </si>
  <si>
    <t>ELLIS NITZA DR.</t>
  </si>
  <si>
    <t>ELLIS NITZA FARHI</t>
  </si>
  <si>
    <t>1131 DELAWARE AVE</t>
  </si>
  <si>
    <t>E0354107</t>
  </si>
  <si>
    <t>KOZLOWSKI SARAH JOSEPHINE</t>
  </si>
  <si>
    <t>KOZLOWSKI SARAH</t>
  </si>
  <si>
    <t>PO BOX 631</t>
  </si>
  <si>
    <t>NYS ARC INC CATTARAUG HCBS 10</t>
  </si>
  <si>
    <t>E0306461</t>
  </si>
  <si>
    <t>1439 BUFFALO ST # VVF2239</t>
  </si>
  <si>
    <t>E0201552</t>
  </si>
  <si>
    <t>SCHAEFER DANIEL P          MD</t>
  </si>
  <si>
    <t>(716) 839-3535</t>
  </si>
  <si>
    <t>SCHAEFER DANIEL DR.</t>
  </si>
  <si>
    <t>4590 MAIN ST</t>
  </si>
  <si>
    <t>27 FRANKLIN ST</t>
  </si>
  <si>
    <t>225 BENNETT ROAD OPERATING COMPANY LLC</t>
  </si>
  <si>
    <t>E0377903</t>
  </si>
  <si>
    <t>225 BENNETT ROAD OPERATING CO LLC</t>
  </si>
  <si>
    <t>VALVO KRYSTAL MRS.</t>
  </si>
  <si>
    <t>E0178067</t>
  </si>
  <si>
    <t>SOH ANDREW YOUNG HOON MD</t>
  </si>
  <si>
    <t>(716) 871-0171</t>
  </si>
  <si>
    <t>SOH ANDREW</t>
  </si>
  <si>
    <t>E0111533</t>
  </si>
  <si>
    <t>DIBELLA MICHAEL DAVID P MD</t>
  </si>
  <si>
    <t>DIBELLA MICHAEL</t>
  </si>
  <si>
    <t>E0037335</t>
  </si>
  <si>
    <t>VIGNA FRANCO E MD</t>
  </si>
  <si>
    <t>(716) 629-3338</t>
  </si>
  <si>
    <t>VIGNA FRANCO DR.</t>
  </si>
  <si>
    <t>E0012424</t>
  </si>
  <si>
    <t>JOHNSON RURIK CARNAHAN MD</t>
  </si>
  <si>
    <t>JOHNSON RURIK DR.</t>
  </si>
  <si>
    <t>E0191234</t>
  </si>
  <si>
    <t>ALVAREZ CARMEN ADRIANA MD</t>
  </si>
  <si>
    <t>ALVAREZ CARMEN</t>
  </si>
  <si>
    <t>NIAGARA FAMILY HEALT</t>
  </si>
  <si>
    <t>LAKE SHORE BEHAVIORAL HEALTH INC</t>
  </si>
  <si>
    <t>255 DELAWARE AVE</t>
  </si>
  <si>
    <t>E0162798</t>
  </si>
  <si>
    <t>CHANDAN KOMAL MD</t>
  </si>
  <si>
    <t>(716) 298-4050</t>
  </si>
  <si>
    <t>CHANDAN KOMAL DR.</t>
  </si>
  <si>
    <t>6934 WILLIAMS RD</t>
  </si>
  <si>
    <t>E0306054</t>
  </si>
  <si>
    <t>JEFFREY JAMES BREWER</t>
  </si>
  <si>
    <t>BREWER JEFFREY DR.</t>
  </si>
  <si>
    <t>BREWER JEFFREY JAMES</t>
  </si>
  <si>
    <t>VOLANIS GEORGINA</t>
  </si>
  <si>
    <t>E0315543</t>
  </si>
  <si>
    <t>SALIS ROBERTUS J</t>
  </si>
  <si>
    <t>SALIS ROBERTUS DR.</t>
  </si>
  <si>
    <t>E0119935</t>
  </si>
  <si>
    <t>ISLAM ABUL MOHAMMAD  MD</t>
  </si>
  <si>
    <t>ISLAM ABUL</t>
  </si>
  <si>
    <t>E0154103</t>
  </si>
  <si>
    <t>HEIDELBERGER EDWIN MD</t>
  </si>
  <si>
    <t>HEIDELBERGER EDWIN DR.</t>
  </si>
  <si>
    <t>15 COMMERCE DR</t>
  </si>
  <si>
    <t>BUFFALO MED GRP</t>
  </si>
  <si>
    <t>E0139401</t>
  </si>
  <si>
    <t>KALRA TEJINDER MD</t>
  </si>
  <si>
    <t>KALRA TEJINDER DR.</t>
  </si>
  <si>
    <t>CAMMARATA MICHAEL</t>
  </si>
  <si>
    <t>E0122901</t>
  </si>
  <si>
    <t>PALMA ALESSANDRA MULLE MD</t>
  </si>
  <si>
    <t>PALMA ALESSANDRA DR.</t>
  </si>
  <si>
    <t>E0224036</t>
  </si>
  <si>
    <t>SCHRECK FRANK THOMAS       MD</t>
  </si>
  <si>
    <t>SCHRECK FRANK</t>
  </si>
  <si>
    <t>(716) 832-0618</t>
  </si>
  <si>
    <t>(716) 204-5933</t>
  </si>
  <si>
    <t>E0354323</t>
  </si>
  <si>
    <t>STANKO WESLEY CAROL</t>
  </si>
  <si>
    <t>SHEFFIELD WESLEY</t>
  </si>
  <si>
    <t>E0083449</t>
  </si>
  <si>
    <t>SPRINGER CHRISTOPHER R MD</t>
  </si>
  <si>
    <t>SPRINGER CHRISTOPHER DR.</t>
  </si>
  <si>
    <t>SPRINGER CHRISTOPHER RONALD</t>
  </si>
  <si>
    <t>E0216429</t>
  </si>
  <si>
    <t>CUMELLA JAMES C MD</t>
  </si>
  <si>
    <t>(716) 633-5277</t>
  </si>
  <si>
    <t>CUMELLA JAMES DR.</t>
  </si>
  <si>
    <t>CUMELLA JAMES CHARLES</t>
  </si>
  <si>
    <t>333 INTERNATIONAL DR STE B1</t>
  </si>
  <si>
    <t>(716) 564-1111</t>
  </si>
  <si>
    <t>E0084718</t>
  </si>
  <si>
    <t>PIERCE NATALIE NICOLE PA</t>
  </si>
  <si>
    <t>PIERCE NATALIE MRS.</t>
  </si>
  <si>
    <t>WESTFIELD FAM PHYS</t>
  </si>
  <si>
    <t>BROCTON</t>
  </si>
  <si>
    <t>E0145659</t>
  </si>
  <si>
    <t>PHADKE KISHOR V MD</t>
  </si>
  <si>
    <t>PHADKE KISHOR DR.</t>
  </si>
  <si>
    <t>BUFFALO CARDIO</t>
  </si>
  <si>
    <t>E0171580</t>
  </si>
  <si>
    <t>OCONNOR TERENCE P MD</t>
  </si>
  <si>
    <t>OCONNOR TERENCE</t>
  </si>
  <si>
    <t>E0072781</t>
  </si>
  <si>
    <t>WEN HONGYU</t>
  </si>
  <si>
    <t>WEN HONG YU</t>
  </si>
  <si>
    <t>WEN HONGYU MD</t>
  </si>
  <si>
    <t>E0022482</t>
  </si>
  <si>
    <t>RUGGIERO KATHLEEN A NP</t>
  </si>
  <si>
    <t>RUGGIERO KATHLEEN</t>
  </si>
  <si>
    <t>E0164052</t>
  </si>
  <si>
    <t>CASEY MARTIN A  MD</t>
  </si>
  <si>
    <t>(716) 675-7693</t>
  </si>
  <si>
    <t>CASEY MARTIN</t>
  </si>
  <si>
    <t>151 ELMVIEW AVE</t>
  </si>
  <si>
    <t>E0095348</t>
  </si>
  <si>
    <t>RYKERT-WOLF MARY MD</t>
  </si>
  <si>
    <t>RYKERT-WOLF MARY</t>
  </si>
  <si>
    <t>RYKERT-WOLF MARY ANN</t>
  </si>
  <si>
    <t>LAKE SHORE FAM MED</t>
  </si>
  <si>
    <t>E0124731</t>
  </si>
  <si>
    <t>HOURIHANE JOHN MAURICE MD</t>
  </si>
  <si>
    <t>HOURIHANE JOHN</t>
  </si>
  <si>
    <t>BECKMAN KEVIN</t>
  </si>
  <si>
    <t>E0024368</t>
  </si>
  <si>
    <t>ROKITKA DENISE A MD</t>
  </si>
  <si>
    <t>ROKITKA DENISE</t>
  </si>
  <si>
    <t>E0154377</t>
  </si>
  <si>
    <t>HONG MICHAEL JOSEPH</t>
  </si>
  <si>
    <t>HONG MICHAEL</t>
  </si>
  <si>
    <t>E0197004</t>
  </si>
  <si>
    <t>WILD JAMES E               MD</t>
  </si>
  <si>
    <t>WILD JAMES DR.</t>
  </si>
  <si>
    <t>WILD JAMES E MD</t>
  </si>
  <si>
    <t>E0239344</t>
  </si>
  <si>
    <t>PATEL DILIPKUMAR J         MD</t>
  </si>
  <si>
    <t>(716) 837-1090</t>
  </si>
  <si>
    <t>PATEL DILIP DR.</t>
  </si>
  <si>
    <t>PATEL DILIPKUMAR J</t>
  </si>
  <si>
    <t>290 CENTER RD</t>
  </si>
  <si>
    <t>E0061152</t>
  </si>
  <si>
    <t>MYERS BENNETT MD</t>
  </si>
  <si>
    <t>MYERS BENNETT</t>
  </si>
  <si>
    <t>E0165107</t>
  </si>
  <si>
    <t>FROST JEFFREY B MD</t>
  </si>
  <si>
    <t>FROST JEFFREY DR.</t>
  </si>
  <si>
    <t>E0103898</t>
  </si>
  <si>
    <t>FINEBERG MARC STEVEN MD</t>
  </si>
  <si>
    <t>(716) 204-3257</t>
  </si>
  <si>
    <t>FINEBERG MARC</t>
  </si>
  <si>
    <t>E0307368</t>
  </si>
  <si>
    <t>HENNON MARK WILLIAM</t>
  </si>
  <si>
    <t>HENNON MARK</t>
  </si>
  <si>
    <t>E0010277</t>
  </si>
  <si>
    <t>CATTARAUGUS REHAB CENTER INC</t>
  </si>
  <si>
    <t>338 N 15TH ST</t>
  </si>
  <si>
    <t>E0001796</t>
  </si>
  <si>
    <t>BELA AJTAI</t>
  </si>
  <si>
    <t>AJTAI BELA DR.</t>
  </si>
  <si>
    <t>AJTAI BELA MD</t>
  </si>
  <si>
    <t>E0373251</t>
  </si>
  <si>
    <t>SALAZAR MORENO WAYRA YSI</t>
  </si>
  <si>
    <t>SALAZAR MORENO WAYRA</t>
  </si>
  <si>
    <t>E0335488</t>
  </si>
  <si>
    <t>ABEBE MEKDESS</t>
  </si>
  <si>
    <t>ABEBE MEKDESS DR.</t>
  </si>
  <si>
    <t>220 RED TAIL LN STE 2</t>
  </si>
  <si>
    <t>E0164444</t>
  </si>
  <si>
    <t>SOUTHARD ERIC R  MD</t>
  </si>
  <si>
    <t>SOUTHARD ERIC</t>
  </si>
  <si>
    <t>SOUTHARD ERIC RICHARD</t>
  </si>
  <si>
    <t>E0022448</t>
  </si>
  <si>
    <t>YI WON S MD</t>
  </si>
  <si>
    <t>YI WON SAM</t>
  </si>
  <si>
    <t>E0289904</t>
  </si>
  <si>
    <t>BITIKOFER KRISTIN MARIE PA</t>
  </si>
  <si>
    <t>BITIKOFER KRISTIN</t>
  </si>
  <si>
    <t>BITIKOFER KRISTIN MARIE</t>
  </si>
  <si>
    <t>E0234863</t>
  </si>
  <si>
    <t>E0211046</t>
  </si>
  <si>
    <t>BEZBATCHENKO MARK          MD</t>
  </si>
  <si>
    <t>BEZBATCHENKO MARK DR.</t>
  </si>
  <si>
    <t>BEZBATCHENKO MARK DAVID</t>
  </si>
  <si>
    <t>LANCASTER DEPEW PEDS</t>
  </si>
  <si>
    <t>E0133914</t>
  </si>
  <si>
    <t>CARLSON DAVID E</t>
  </si>
  <si>
    <t>FRITTON-CLOSE LORELEI</t>
  </si>
  <si>
    <t>E0297367</t>
  </si>
  <si>
    <t>SINGH BALJINDER</t>
  </si>
  <si>
    <t>SINGH BALJINDER DR.</t>
  </si>
  <si>
    <t>53 ELIZABETH DR</t>
  </si>
  <si>
    <t>E0383339</t>
  </si>
  <si>
    <t>MUSTAFA BILAL</t>
  </si>
  <si>
    <t>E0158032</t>
  </si>
  <si>
    <t>BHAYANA RANJAN MD</t>
  </si>
  <si>
    <t>BHAYANA RANJAN DR.</t>
  </si>
  <si>
    <t>ABSOLUT CENTER FOR NURSING AND REHABILITATION AT EDEN, LLC</t>
  </si>
  <si>
    <t>E0193990</t>
  </si>
  <si>
    <t>ABSOLUT CTR  NRS &amp; REH AT EDEN</t>
  </si>
  <si>
    <t>2806 GEORGE ST</t>
  </si>
  <si>
    <t>EDEN</t>
  </si>
  <si>
    <t>E0017013</t>
  </si>
  <si>
    <t>KHAN IRFAN ALI MD</t>
  </si>
  <si>
    <t>KHAN IRFAN</t>
  </si>
  <si>
    <t>200 7TH ST</t>
  </si>
  <si>
    <t>NOTARO JULIE</t>
  </si>
  <si>
    <t>E0343312</t>
  </si>
  <si>
    <t>REDICK ROBERT G</t>
  </si>
  <si>
    <t>REDICK ROBERT</t>
  </si>
  <si>
    <t>E0181322</t>
  </si>
  <si>
    <t>LOREE THOM ROBERT MD</t>
  </si>
  <si>
    <t>LOREE THOM</t>
  </si>
  <si>
    <t>E0060587</t>
  </si>
  <si>
    <t>MOHLER JAMES LLOYD MD</t>
  </si>
  <si>
    <t>MOHLER JAMES</t>
  </si>
  <si>
    <t>E0065479</t>
  </si>
  <si>
    <t>HAMLIN DEBORAH J</t>
  </si>
  <si>
    <t>HAMLIN DEBORAH MRS.</t>
  </si>
  <si>
    <t>E0151760</t>
  </si>
  <si>
    <t>CHEVLI K KENT MD</t>
  </si>
  <si>
    <t>CHEVLI K DR.</t>
  </si>
  <si>
    <t>CHEVLI K KENT</t>
  </si>
  <si>
    <t>E0062440</t>
  </si>
  <si>
    <t>EDDIB ABEER MD</t>
  </si>
  <si>
    <t>EDDIB ABEER DR.</t>
  </si>
  <si>
    <t>EDDIB ABEER</t>
  </si>
  <si>
    <t>UNIV GYN/OB INC</t>
  </si>
  <si>
    <t>E0174562</t>
  </si>
  <si>
    <t>ANAIN JOSEPH MARCEL JR DPM</t>
  </si>
  <si>
    <t>ANAIN JOSEPH</t>
  </si>
  <si>
    <t>ANAIN JOSEPH MARCEL JR</t>
  </si>
  <si>
    <t>2121 MAIN ST</t>
  </si>
  <si>
    <t>E0111524</t>
  </si>
  <si>
    <t>WARNER ANDREW W MD</t>
  </si>
  <si>
    <t>WARNER ANDREW DR.</t>
  </si>
  <si>
    <t>ASSOC PHYS OF WNY</t>
  </si>
  <si>
    <t>E0185396</t>
  </si>
  <si>
    <t>CHASKES MICHAEL J MD</t>
  </si>
  <si>
    <t>CHASKES MICHAEL DR.</t>
  </si>
  <si>
    <t>E0041553</t>
  </si>
  <si>
    <t>LASHBROOK LORIE ANN MD</t>
  </si>
  <si>
    <t>LASHBROOK LORIE DR.</t>
  </si>
  <si>
    <t>138 EAST MAIN STREET</t>
  </si>
  <si>
    <t>E0083898</t>
  </si>
  <si>
    <t>SCHENK THOMAS EDGAR MD</t>
  </si>
  <si>
    <t>SCHENK THOMAS DR.</t>
  </si>
  <si>
    <t>SCHENK THOMAS EDGAR</t>
  </si>
  <si>
    <t>DELAWARE PEDIATRIC AS</t>
  </si>
  <si>
    <t>E0111525</t>
  </si>
  <si>
    <t>PHILLIPS EMILIA</t>
  </si>
  <si>
    <t>(716) 834-5517</t>
  </si>
  <si>
    <t>E0128345</t>
  </si>
  <si>
    <t>RABICE MICHAEL D MD</t>
  </si>
  <si>
    <t>RABICE MICHAEL DR.</t>
  </si>
  <si>
    <t>E0149685</t>
  </si>
  <si>
    <t>DOUGHERTY DAVID R DO</t>
  </si>
  <si>
    <t>DOUGHERTY DAVID DR.</t>
  </si>
  <si>
    <t>E0043748</t>
  </si>
  <si>
    <t>RITTER CHRISTOPHER MD</t>
  </si>
  <si>
    <t>RITTER CHRISTOPHER</t>
  </si>
  <si>
    <t>E0168317</t>
  </si>
  <si>
    <t>GRISANTI JOSEPH MD</t>
  </si>
  <si>
    <t>GRISANTI JOSEPH DR.</t>
  </si>
  <si>
    <t>3065 SOUTHWESTERN BLVD</t>
  </si>
  <si>
    <t>E0013953</t>
  </si>
  <si>
    <t>PEREIRA LORIANNE MD</t>
  </si>
  <si>
    <t>(716) 667-2064</t>
  </si>
  <si>
    <t>AVINO LORIANNE</t>
  </si>
  <si>
    <t>AVINO LORIANNE E  MD</t>
  </si>
  <si>
    <t>E0092986</t>
  </si>
  <si>
    <t>POPAT SAURIN RAJNIKANT MD</t>
  </si>
  <si>
    <t>POPAT SAURIN DR.</t>
  </si>
  <si>
    <t>E0058643</t>
  </si>
  <si>
    <t>JAJKOWSKI MARK R MD</t>
  </si>
  <si>
    <t>JAJKOWSKI MARK DR.</t>
  </si>
  <si>
    <t>2809 WEHRLE DR STE 13</t>
  </si>
  <si>
    <t>E0040368</t>
  </si>
  <si>
    <t>GOULD MARGARET A</t>
  </si>
  <si>
    <t>GOULD MARGARET</t>
  </si>
  <si>
    <t>RPCI CLINICAL PRACT</t>
  </si>
  <si>
    <t>235 NORTH ST</t>
  </si>
  <si>
    <t>E0122354</t>
  </si>
  <si>
    <t>PECHENIK BORIS MD</t>
  </si>
  <si>
    <t>PECHENIK BORIS</t>
  </si>
  <si>
    <t>E0038254</t>
  </si>
  <si>
    <t>MAZURCZAK MATTHEW J RPA</t>
  </si>
  <si>
    <t>MAZURCZAK MATTHEW</t>
  </si>
  <si>
    <t>MAZURCZAK MATTHEW JOSEPH</t>
  </si>
  <si>
    <t>564 NIAGARA ST</t>
  </si>
  <si>
    <t>E0032626</t>
  </si>
  <si>
    <t>SEIB BEVERLY A</t>
  </si>
  <si>
    <t>SEIB BEVERLY</t>
  </si>
  <si>
    <t>E0038832</t>
  </si>
  <si>
    <t>RAJESWARY JYOTSNA</t>
  </si>
  <si>
    <t>(716) 712-0851</t>
  </si>
  <si>
    <t>E0001880</t>
  </si>
  <si>
    <t>DY GRACE</t>
  </si>
  <si>
    <t>DY GRACE KHO MD</t>
  </si>
  <si>
    <t>ELM &amp; CARLTON STREETS</t>
  </si>
  <si>
    <t>E0216316</t>
  </si>
  <si>
    <t>BAKER TRUDY R              MD</t>
  </si>
  <si>
    <t>BAKER TRUDY DR.</t>
  </si>
  <si>
    <t>E0239399</t>
  </si>
  <si>
    <t>CANAVAN J WILLIAM          MD</t>
  </si>
  <si>
    <t>(716) 592-2832</t>
  </si>
  <si>
    <t>CANAVAN JAMES</t>
  </si>
  <si>
    <t>CANAVAN WILLIAM J</t>
  </si>
  <si>
    <t>E0198957</t>
  </si>
  <si>
    <t>KEATING DANIEL B</t>
  </si>
  <si>
    <t>(716) 838-2983</t>
  </si>
  <si>
    <t>KEATING DANIEL</t>
  </si>
  <si>
    <t>E0291343</t>
  </si>
  <si>
    <t>PILI ROBERTO MD</t>
  </si>
  <si>
    <t>PILI ROBERTO</t>
  </si>
  <si>
    <t>E0152055</t>
  </si>
  <si>
    <t>RABADI NASHAT H MD</t>
  </si>
  <si>
    <t>RABADI NASHAT DR.</t>
  </si>
  <si>
    <t>E0081483</t>
  </si>
  <si>
    <t>TURAIF NAJAT ABDULAZIZ</t>
  </si>
  <si>
    <t>TURAIF NAJAT</t>
  </si>
  <si>
    <t>E0161254</t>
  </si>
  <si>
    <t>KITCHEN TIMOTHY M MD</t>
  </si>
  <si>
    <t>KITCHEN TIMOTHY DR.</t>
  </si>
  <si>
    <t>KITCHEN TIMOTHY M</t>
  </si>
  <si>
    <t>E0101864</t>
  </si>
  <si>
    <t>ANAIN PAUL MICHAEL MD</t>
  </si>
  <si>
    <t>(716) 837-2400</t>
  </si>
  <si>
    <t>ANAIN PAUL</t>
  </si>
  <si>
    <t>E0106594</t>
  </si>
  <si>
    <t>CASTIGLIA GREGORY J MD</t>
  </si>
  <si>
    <t>CASTIGLIA GREGORY</t>
  </si>
  <si>
    <t>SISTERS CHARITY HOSP</t>
  </si>
  <si>
    <t>NORRIS KATRINA</t>
  </si>
  <si>
    <t>E0396124</t>
  </si>
  <si>
    <t>WILLIAMS CHRISTINE M</t>
  </si>
  <si>
    <t>WILLIAMS CHRISTINE MISS</t>
  </si>
  <si>
    <t>1280 MAIN ST FL 1</t>
  </si>
  <si>
    <t>E0353000</t>
  </si>
  <si>
    <t>CATTARAUGUS REHABILITATION CENTER I</t>
  </si>
  <si>
    <t>E0068515</t>
  </si>
  <si>
    <t>OCONNOR TRACEY</t>
  </si>
  <si>
    <t>O'CONNOR TRACEY</t>
  </si>
  <si>
    <t>OCONNOR TRACEY MD</t>
  </si>
  <si>
    <t>E0100932</t>
  </si>
  <si>
    <t>KUETTEL MICHAEL</t>
  </si>
  <si>
    <t>E0159290</t>
  </si>
  <si>
    <t>LAURIA PHILIP G MD</t>
  </si>
  <si>
    <t>LAURIA PHILIP DR.</t>
  </si>
  <si>
    <t>LAURIA PHILIP GERARD</t>
  </si>
  <si>
    <t>Cattaraugus County Health Department</t>
  </si>
  <si>
    <t>E0197862</t>
  </si>
  <si>
    <t>POWALSKI ROBERT JOHN JR    MD</t>
  </si>
  <si>
    <t>POWALSKI ROBERT</t>
  </si>
  <si>
    <t>989 KENMORE AVE</t>
  </si>
  <si>
    <t>E0354111</t>
  </si>
  <si>
    <t>GRISANTE EMILY A</t>
  </si>
  <si>
    <t>GRISANTE EMILY</t>
  </si>
  <si>
    <t>E0192402</t>
  </si>
  <si>
    <t>NELSON GARY ROBERT MD</t>
  </si>
  <si>
    <t>NELSON GARY DR.</t>
  </si>
  <si>
    <t>NELSON GARY ROBERT</t>
  </si>
  <si>
    <t>E0223277</t>
  </si>
  <si>
    <t>RAIKEN DEBORAH FAYE        MD</t>
  </si>
  <si>
    <t>RAIKEN DEBORAH</t>
  </si>
  <si>
    <t>RAIKEN DEBORAH FAYE MD</t>
  </si>
  <si>
    <t>E0181016</t>
  </si>
  <si>
    <t>TODORO CARMEN M MD</t>
  </si>
  <si>
    <t>TODORO CARMEN DR.</t>
  </si>
  <si>
    <t>GUTOWSKI JULIA</t>
  </si>
  <si>
    <t>E0294069</t>
  </si>
  <si>
    <t>CICCHETTI MICHAEL SCOTT</t>
  </si>
  <si>
    <t>CICCHETTI MICHAEL</t>
  </si>
  <si>
    <t>CICCHETTI MICHAEL S MD</t>
  </si>
  <si>
    <t>200 STERLING DR</t>
  </si>
  <si>
    <t>(716) 278-1941</t>
  </si>
  <si>
    <t>E0179499</t>
  </si>
  <si>
    <t>PLUNKETT ROBERT J JR MD</t>
  </si>
  <si>
    <t>PLUNKETT ROBERT</t>
  </si>
  <si>
    <t>E0184923</t>
  </si>
  <si>
    <t>HAAR MICHAEL SAMUEL MD</t>
  </si>
  <si>
    <t>HAAR MICHAEL DR.</t>
  </si>
  <si>
    <t>E0240204</t>
  </si>
  <si>
    <t>DEAN DAVID CAMPBELL        MD</t>
  </si>
  <si>
    <t>DEAN DAVID DR.</t>
  </si>
  <si>
    <t>E0179804</t>
  </si>
  <si>
    <t>MCDONELL MARY JO MD</t>
  </si>
  <si>
    <t>MCDONELL MARY DR.</t>
  </si>
  <si>
    <t>E0296647</t>
  </si>
  <si>
    <t>SAIKALI NICOLAS P</t>
  </si>
  <si>
    <t>SAIKALI NICOLAS</t>
  </si>
  <si>
    <t>E0043744</t>
  </si>
  <si>
    <t>STOECKL ANDREW</t>
  </si>
  <si>
    <t>STOECKL ANDREW C</t>
  </si>
  <si>
    <t>E0196617</t>
  </si>
  <si>
    <t>GORMAN TIMOTHY ALAN        MD</t>
  </si>
  <si>
    <t>GORMAN TIMOTHY DR.</t>
  </si>
  <si>
    <t>GORMAN TIMOTHY ALAN</t>
  </si>
  <si>
    <t>WESTFIELD FAMILY PHY</t>
  </si>
  <si>
    <t>CATTARAUGUS CO NYSARC SPT</t>
  </si>
  <si>
    <t>E0075494</t>
  </si>
  <si>
    <t>CATTARAUGUS CO NYSARC SPV</t>
  </si>
  <si>
    <t>E0075493</t>
  </si>
  <si>
    <t>ERIE COUNTY ARC SPT</t>
  </si>
  <si>
    <t>E0075440</t>
  </si>
  <si>
    <t>ERIE COUNTY ARC SPV</t>
  </si>
  <si>
    <t>E0075439</t>
  </si>
  <si>
    <t>RIVERSHORE INC  SPV</t>
  </si>
  <si>
    <t>E0075210</t>
  </si>
  <si>
    <t>E0190680</t>
  </si>
  <si>
    <t>ANTALEK MATTHEW MD</t>
  </si>
  <si>
    <t>ANTALEK MATTHEW DR.</t>
  </si>
  <si>
    <t>E0138591</t>
  </si>
  <si>
    <t>ZULKHARNAIN</t>
  </si>
  <si>
    <t>ZULKHARNAIN UNKNOWN DR.</t>
  </si>
  <si>
    <t>NYSARC, INC., CATTARAUGUS COUNTY CHAPTER</t>
  </si>
  <si>
    <t>E0225225</t>
  </si>
  <si>
    <t>REHABILITATION CTR CATT DAYTR</t>
  </si>
  <si>
    <t>E0364497</t>
  </si>
  <si>
    <t>SCHWARZ COLLEEN MICHELLE</t>
  </si>
  <si>
    <t>LEMANKIEWICZ COLLEEN</t>
  </si>
  <si>
    <t>LEMANKIEWICZ COLLEEN MICHELLE</t>
  </si>
  <si>
    <t>E0100933</t>
  </si>
  <si>
    <t>YATES CHARLES WILLIAM</t>
  </si>
  <si>
    <t>YATES CHARLES</t>
  </si>
  <si>
    <t>747 HOPKINS RD</t>
  </si>
  <si>
    <t>E0126762</t>
  </si>
  <si>
    <t>RICOTTONE ANTHONY R MD</t>
  </si>
  <si>
    <t>RICOTTONE ANTHONY DR.</t>
  </si>
  <si>
    <t>E0230776</t>
  </si>
  <si>
    <t>KAPROVE ROBERT E           MD</t>
  </si>
  <si>
    <t>KAPROVE ROBERT</t>
  </si>
  <si>
    <t>(716) 839-0632</t>
  </si>
  <si>
    <t>4510 MAIN ST</t>
  </si>
  <si>
    <t>E0196813</t>
  </si>
  <si>
    <t>ALIOTTA PHILIP JOSEPH      MD</t>
  </si>
  <si>
    <t>ALIOTTA PHILIP MR.</t>
  </si>
  <si>
    <t>ALIOTTA PHILIP JOSEPH</t>
  </si>
  <si>
    <t>E0350436</t>
  </si>
  <si>
    <t>WADHAWAN SACHIN</t>
  </si>
  <si>
    <t>E0010866</t>
  </si>
  <si>
    <t>GAVIN JULIE MD</t>
  </si>
  <si>
    <t>(716) 877-1221</t>
  </si>
  <si>
    <t>GAVIN JULIE</t>
  </si>
  <si>
    <t>E0115712</t>
  </si>
  <si>
    <t>OGRA SANJAY RAY</t>
  </si>
  <si>
    <t>OGRA S DR.</t>
  </si>
  <si>
    <t>E0164308</t>
  </si>
  <si>
    <t>PICONE ANTHONY L MD</t>
  </si>
  <si>
    <t>PICONE ANTHONY</t>
  </si>
  <si>
    <t>E0006958</t>
  </si>
  <si>
    <t>BURNHARD VALERIE LYNN MD</t>
  </si>
  <si>
    <t>BURKHARD VALERIE</t>
  </si>
  <si>
    <t>BURKHARD VALERIE LYNN MD</t>
  </si>
  <si>
    <t>TRANSITIONAL SERVICES INC.</t>
  </si>
  <si>
    <t>E0086512</t>
  </si>
  <si>
    <t>TRANSITIONAL SERVICES INC  MH</t>
  </si>
  <si>
    <t>TRANSITIONAL SERVICES INC</t>
  </si>
  <si>
    <t>389 ELMWOOD AVE</t>
  </si>
  <si>
    <t>E0057095</t>
  </si>
  <si>
    <t>STILB VALERIE A RPA</t>
  </si>
  <si>
    <t>STILB VALERIE</t>
  </si>
  <si>
    <t>E0182025</t>
  </si>
  <si>
    <t>KAPLAN RICHARD D MD</t>
  </si>
  <si>
    <t>KAPLAN RICHARD</t>
  </si>
  <si>
    <t>4229 MAPLE RD</t>
  </si>
  <si>
    <t>E0136757</t>
  </si>
  <si>
    <t>CAVALIERI MORRIS MAURIZIO MD</t>
  </si>
  <si>
    <t>CAVALIERI MORRIS</t>
  </si>
  <si>
    <t>MERCY HOSP BUFFALO</t>
  </si>
  <si>
    <t>E0049758</t>
  </si>
  <si>
    <t>TKACIK JAMES E RPA</t>
  </si>
  <si>
    <t>TKACIK JAMES</t>
  </si>
  <si>
    <t>TKACIK JAMES EDWARD</t>
  </si>
  <si>
    <t>E0133514</t>
  </si>
  <si>
    <t>LALL SHASHI MD</t>
  </si>
  <si>
    <t>(716) 675-1001</t>
  </si>
  <si>
    <t>LALL SHASHI DR.</t>
  </si>
  <si>
    <t>E0182559</t>
  </si>
  <si>
    <t>EVANS STEPHEN J MD</t>
  </si>
  <si>
    <t>EVANS STEPHEN</t>
  </si>
  <si>
    <t>ABSOLUT CENTER FOR NURSING AND REHABILITATION AT WESTFIELD, LLC</t>
  </si>
  <si>
    <t>E0209614</t>
  </si>
  <si>
    <t>ABSOLUT CTR NRS REH AT WESTFIELD</t>
  </si>
  <si>
    <t>ABSOLUT CTR NRS &amp;REHAB AT WESTFIELD</t>
  </si>
  <si>
    <t>26 CASS ST</t>
  </si>
  <si>
    <t>E0216493</t>
  </si>
  <si>
    <t>BARTELS EDWARD KELLY       MD</t>
  </si>
  <si>
    <t>BARTELS EDWARD</t>
  </si>
  <si>
    <t>E0146973</t>
  </si>
  <si>
    <t>HAGE DOUGLAS DAVID MD</t>
  </si>
  <si>
    <t>HAGE DOUGLAS</t>
  </si>
  <si>
    <t>E0174818</t>
  </si>
  <si>
    <t>DAVIS ELIZABETH MD</t>
  </si>
  <si>
    <t>DAVIS ELIZABETH DR.</t>
  </si>
  <si>
    <t>E0210560</t>
  </si>
  <si>
    <t>MORRIS WILLIAM             MD</t>
  </si>
  <si>
    <t>MORRIS WILLIAM DR.</t>
  </si>
  <si>
    <t>E0051124</t>
  </si>
  <si>
    <t>HENRY ASHRAF FEKRY MD</t>
  </si>
  <si>
    <t>HENRY ASHRAF DR.</t>
  </si>
  <si>
    <t>HENRY ASHRAF FEKRY</t>
  </si>
  <si>
    <t>8274 N MAIN ST</t>
  </si>
  <si>
    <t>6435 WEBSTER RD</t>
  </si>
  <si>
    <t>E0066663</t>
  </si>
  <si>
    <t>PAWLOWSKI DAVID ANTHONY MD</t>
  </si>
  <si>
    <t>PAWLOWSKI DAVID DR.</t>
  </si>
  <si>
    <t>E0072763</t>
  </si>
  <si>
    <t>KHAN MOHAMMAD ASGHAR MD</t>
  </si>
  <si>
    <t>KHAN MOHAMMAD DR.</t>
  </si>
  <si>
    <t>621 10TH STREET - HODGE 1</t>
  </si>
  <si>
    <t>E0139533</t>
  </si>
  <si>
    <t>MARINO MICHAEL B MD</t>
  </si>
  <si>
    <t>MARINO MICHAEL</t>
  </si>
  <si>
    <t>GENESEE MEM HOSP</t>
  </si>
  <si>
    <t>E0143388</t>
  </si>
  <si>
    <t>PATEL MALTI JAIRAM MD</t>
  </si>
  <si>
    <t>PATEL MALTI</t>
  </si>
  <si>
    <t>E0058823</t>
  </si>
  <si>
    <t>CLOUD MARSILIA SEIWELL</t>
  </si>
  <si>
    <t>CLOUD MARSILIA</t>
  </si>
  <si>
    <t>3834 DELAWARE AVE</t>
  </si>
  <si>
    <t>E0178915</t>
  </si>
  <si>
    <t>ZIELINSKI ROBERT M MD</t>
  </si>
  <si>
    <t>ZIELINSKI ROBERT DR.</t>
  </si>
  <si>
    <t>ZIELINSKI ROBERT MICHAEL MD</t>
  </si>
  <si>
    <t>E0072779</t>
  </si>
  <si>
    <t>SNELL-GARUS KAREN ANGELA MD</t>
  </si>
  <si>
    <t>SNELL GARUS KAREN DR.</t>
  </si>
  <si>
    <t>E0297994</t>
  </si>
  <si>
    <t>GLASS KATHLEEN ZILLNER</t>
  </si>
  <si>
    <t>GLASS KATHLEEN MS.</t>
  </si>
  <si>
    <t>462 GRIDER ST STE 119</t>
  </si>
  <si>
    <t>E0100197</t>
  </si>
  <si>
    <t>VARGO EDWARD RICHARD JR RPA</t>
  </si>
  <si>
    <t>VARGO EDWARD</t>
  </si>
  <si>
    <t>E0203391</t>
  </si>
  <si>
    <t>LANA STEVEN JOSEPH         MD</t>
  </si>
  <si>
    <t>LANA STEVEN DR.</t>
  </si>
  <si>
    <t>E0195090</t>
  </si>
  <si>
    <t>FIORICA NORMAN ONOFRIO     MD</t>
  </si>
  <si>
    <t>(716) 297-0001</t>
  </si>
  <si>
    <t>FIORICA NORMAN DR.</t>
  </si>
  <si>
    <t>E0148913</t>
  </si>
  <si>
    <t>WETZLER MEIR MD</t>
  </si>
  <si>
    <t>ROSWELL PK PHYS PL</t>
  </si>
  <si>
    <t>EGGERTSVILLE</t>
  </si>
  <si>
    <t>1491 SHERIDAN DR</t>
  </si>
  <si>
    <t>E0111528</t>
  </si>
  <si>
    <t>ROMANOWSKI MARCUS RICHARD MD</t>
  </si>
  <si>
    <t>ROMANOWSKI MARCUS DR.</t>
  </si>
  <si>
    <t>E0233986</t>
  </si>
  <si>
    <t>FAZILI MOHAMAD Y PC        MD</t>
  </si>
  <si>
    <t>(716) 833-3008</t>
  </si>
  <si>
    <t>FAZILI MOHAMAD</t>
  </si>
  <si>
    <t>FAZILI MOHAMAD Y</t>
  </si>
  <si>
    <t>3469 HARLEM RD</t>
  </si>
  <si>
    <t>E0224595</t>
  </si>
  <si>
    <t>PENEPENT PHILIP A JR       MD</t>
  </si>
  <si>
    <t>(716) 681-1895</t>
  </si>
  <si>
    <t>PENEPENT PHILIP DR.</t>
  </si>
  <si>
    <t>PENEPENT PHILIP A JR</t>
  </si>
  <si>
    <t>5196 GENESEE ST</t>
  </si>
  <si>
    <t>E0311751</t>
  </si>
  <si>
    <t>AFSHAN SAMAD</t>
  </si>
  <si>
    <t>SAMAD AFSHAN DR.</t>
  </si>
  <si>
    <t>SAMAD AFSHAN</t>
  </si>
  <si>
    <t>E0218024</t>
  </si>
  <si>
    <t>RAJENDRAN LAKSHMANAN       MD</t>
  </si>
  <si>
    <t>(716) 835-9192</t>
  </si>
  <si>
    <t>RAJENDRAN LAKSHMANAN DR.</t>
  </si>
  <si>
    <t>RAJENDRAN LAKSHMANAN</t>
  </si>
  <si>
    <t>E0222323</t>
  </si>
  <si>
    <t>KURITZKY ALAN S            MD</t>
  </si>
  <si>
    <t>KURITZKY ALAN</t>
  </si>
  <si>
    <t>E0215606</t>
  </si>
  <si>
    <t>BAX JOSEPH A               MD</t>
  </si>
  <si>
    <t>(716) 285-7366</t>
  </si>
  <si>
    <t>BAX JOSEPH DR.</t>
  </si>
  <si>
    <t>BAX JOSEPH A MD</t>
  </si>
  <si>
    <t>700 PARK PL</t>
  </si>
  <si>
    <t>E0238332</t>
  </si>
  <si>
    <t>CHOUCHANI GABRIEL E        MD</t>
  </si>
  <si>
    <t>CHOUCHANI GABRIEL DR.</t>
  </si>
  <si>
    <t>2178 MAIN ST</t>
  </si>
  <si>
    <t>E0102315</t>
  </si>
  <si>
    <t>THOMAS REXFORD LEE JR MD</t>
  </si>
  <si>
    <t>THOMAS REXFORD</t>
  </si>
  <si>
    <t>112 OLEAN ST STE 220</t>
  </si>
  <si>
    <t>E0213540</t>
  </si>
  <si>
    <t>STONE STEVEN               MD</t>
  </si>
  <si>
    <t>STONE STEVEN</t>
  </si>
  <si>
    <t>STONE STEVEN SCOTT</t>
  </si>
  <si>
    <t>E0192319</t>
  </si>
  <si>
    <t>WADHWA ARVIND K MD</t>
  </si>
  <si>
    <t>WADHWA ARVIND DR.</t>
  </si>
  <si>
    <t>E0031542</t>
  </si>
  <si>
    <t>STEINACHER RICHARD S  DO</t>
  </si>
  <si>
    <t>STEINACHER RICHARD</t>
  </si>
  <si>
    <t>E0009042</t>
  </si>
  <si>
    <t>CHRISTIANO LORI ANN</t>
  </si>
  <si>
    <t>CHRISTIANO LORI</t>
  </si>
  <si>
    <t>CHRISTIANO LORI A</t>
  </si>
  <si>
    <t>E0031798</t>
  </si>
  <si>
    <t>MCGRATH TIMOTHY</t>
  </si>
  <si>
    <t>E0132078</t>
  </si>
  <si>
    <t>FLAHERTY LEAYN TERESE</t>
  </si>
  <si>
    <t>FLAHERTY LEAYN</t>
  </si>
  <si>
    <t>EILEEN KOSIERACKI DO</t>
  </si>
  <si>
    <t>E0192757</t>
  </si>
  <si>
    <t>HOCKO MICHAEL MD</t>
  </si>
  <si>
    <t>(716) 893-3835</t>
  </si>
  <si>
    <t>HOCKO MICHAEL</t>
  </si>
  <si>
    <t>E0179663</t>
  </si>
  <si>
    <t>KHALIL MONEER MD</t>
  </si>
  <si>
    <t>(716) 332-6834</t>
  </si>
  <si>
    <t>495 INTERNATIONAL DR</t>
  </si>
  <si>
    <t>E0104540</t>
  </si>
  <si>
    <t>KOWALSKI JOSEPH MARTIN</t>
  </si>
  <si>
    <t>KOWALSKI JOSEPH</t>
  </si>
  <si>
    <t>E0077363</t>
  </si>
  <si>
    <t>AHMAD SHKEEL MD</t>
  </si>
  <si>
    <t>AHMAD SHAKEEL</t>
  </si>
  <si>
    <t>AHMAD SHAKEEL MD</t>
  </si>
  <si>
    <t>E0186653</t>
  </si>
  <si>
    <t>LEDDY JOHN J MD</t>
  </si>
  <si>
    <t>LEDDY JOHN</t>
  </si>
  <si>
    <t>(716) 373-7440</t>
  </si>
  <si>
    <t>E0001740</t>
  </si>
  <si>
    <t>THOMAS TODD A RPA</t>
  </si>
  <si>
    <t>THOMAS TODD MR.</t>
  </si>
  <si>
    <t>THOMAS TODD ANDREW RPA</t>
  </si>
  <si>
    <t>ODD FELLOW AND REBEKAH REHABILITATION AND HEALTH CARE CENTER</t>
  </si>
  <si>
    <t>E0263559</t>
  </si>
  <si>
    <t>ODD FELLOW &amp; REBEKAH RHCC</t>
  </si>
  <si>
    <t>(716) 434-6324</t>
  </si>
  <si>
    <t>104 OLD NIAGARA RD</t>
  </si>
  <si>
    <t>E0238325</t>
  </si>
  <si>
    <t>JAFFRI SYED S U PC         MD</t>
  </si>
  <si>
    <t>(716) 691-0639</t>
  </si>
  <si>
    <t>JAFFRI SYED</t>
  </si>
  <si>
    <t>E0336974</t>
  </si>
  <si>
    <t>FU PHILIP DAVID</t>
  </si>
  <si>
    <t>FU PHILIP</t>
  </si>
  <si>
    <t>6636 MAIN ST STE 1</t>
  </si>
  <si>
    <t>(716) 677-4159</t>
  </si>
  <si>
    <t>E0176594</t>
  </si>
  <si>
    <t>NEU JEFFREY R  MD</t>
  </si>
  <si>
    <t>NEU JEFFERY</t>
  </si>
  <si>
    <t>E0389006</t>
  </si>
  <si>
    <t>200 BASSETT ROAD OPERATING COMPANY</t>
  </si>
  <si>
    <t>(716) 689-6681</t>
  </si>
  <si>
    <t>200 BASSETT ROAD OPERATING COMPANY LLC</t>
  </si>
  <si>
    <t>200 BASSETT RD</t>
  </si>
  <si>
    <t>E0239210</t>
  </si>
  <si>
    <t>GRABIEC STEVEN VINCENT     MD</t>
  </si>
  <si>
    <t>(716) 298-3541</t>
  </si>
  <si>
    <t>GRABIEC STEVEN DR.</t>
  </si>
  <si>
    <t>GRABIEC STEVEN VINCENT</t>
  </si>
  <si>
    <t>6930 WILLIAMS RD STE 3700</t>
  </si>
  <si>
    <t>E0238075</t>
  </si>
  <si>
    <t>PANCHAL NARHARI M          MD</t>
  </si>
  <si>
    <t>(716) 833-7112</t>
  </si>
  <si>
    <t>PANCHAL NARHARI MR.</t>
  </si>
  <si>
    <t>E0103675</t>
  </si>
  <si>
    <t>CASASSA DAVID</t>
  </si>
  <si>
    <t>E0107535</t>
  </si>
  <si>
    <t>VENKATEDWARA RAO KOLLI</t>
  </si>
  <si>
    <t>(716) 278-0873</t>
  </si>
  <si>
    <t>KOLLI VENKATESWARA DR.</t>
  </si>
  <si>
    <t>KOLLI VENKATESWARA RAO</t>
  </si>
  <si>
    <t>5851 MAIN ST</t>
  </si>
  <si>
    <t>E0072356</t>
  </si>
  <si>
    <t>KUVSHINOFF BORIS W MD</t>
  </si>
  <si>
    <t>KUVSHINOFF BORIS</t>
  </si>
  <si>
    <t>E0083843</t>
  </si>
  <si>
    <t>BLESSIOS GEORGE MD</t>
  </si>
  <si>
    <t>BLESSIOS GEORGE</t>
  </si>
  <si>
    <t>550 ORCHARD PARK RD A103</t>
  </si>
  <si>
    <t>E0190720</t>
  </si>
  <si>
    <t>BRECHER MARTIN MD</t>
  </si>
  <si>
    <t>BRECHER MARTIN</t>
  </si>
  <si>
    <t>CHILDRENS HOSPT</t>
  </si>
  <si>
    <t>E0037551</t>
  </si>
  <si>
    <t>PREM KATHRYN M</t>
  </si>
  <si>
    <t>KNISELY KATHRYN MS.</t>
  </si>
  <si>
    <t>6240 TRANSIT RD</t>
  </si>
  <si>
    <t>E0045295</t>
  </si>
  <si>
    <t>KANG MINSOO MD</t>
  </si>
  <si>
    <t>KANG MINSOO DR.</t>
  </si>
  <si>
    <t>E0146941</t>
  </si>
  <si>
    <t>TALHOUK AKRAM S MD</t>
  </si>
  <si>
    <t>TALHOUK AKRAM DR.</t>
  </si>
  <si>
    <t>E0182894</t>
  </si>
  <si>
    <t>WOPPERER PAUL MD</t>
  </si>
  <si>
    <t>WOPPERER PAUL DR.</t>
  </si>
  <si>
    <t>FAYE FULLER</t>
  </si>
  <si>
    <t>E0186894</t>
  </si>
  <si>
    <t>SIMMONS EDWARD DONALD MD</t>
  </si>
  <si>
    <t>(716) 882-0035</t>
  </si>
  <si>
    <t>SIMMONS EDWARD DR.</t>
  </si>
  <si>
    <t>E0131090</t>
  </si>
  <si>
    <t>STUBE KEITH CHARLES MD</t>
  </si>
  <si>
    <t>STUBE KEITH</t>
  </si>
  <si>
    <t>E0197717</t>
  </si>
  <si>
    <t>NILES CHARLES ROSS         MD</t>
  </si>
  <si>
    <t>(716) 632-3545</t>
  </si>
  <si>
    <t>NILES CHARLES</t>
  </si>
  <si>
    <t>E0304277</t>
  </si>
  <si>
    <t>WALL ROBBIE DANIEL</t>
  </si>
  <si>
    <t>WALL ROBBIE DR.</t>
  </si>
  <si>
    <t>E0198061</t>
  </si>
  <si>
    <t>BARLOG KEVIN J             MD</t>
  </si>
  <si>
    <t>BARLOG KEVIN</t>
  </si>
  <si>
    <t>BARLOG KEVIN JOHN</t>
  </si>
  <si>
    <t>E0082755</t>
  </si>
  <si>
    <t>DOMBROWSKI JACQUELINE MD</t>
  </si>
  <si>
    <t>DOMBROWSKI JACQUELINE</t>
  </si>
  <si>
    <t>E0240662</t>
  </si>
  <si>
    <t>HUGHES PATRICK JOSEPH   MD PC</t>
  </si>
  <si>
    <t>(716) 677-6700</t>
  </si>
  <si>
    <t>HUGHES PATRICK</t>
  </si>
  <si>
    <t>160 EAST AVE</t>
  </si>
  <si>
    <t>E0057922</t>
  </si>
  <si>
    <t>MATTESON KRISTIN ANN MD</t>
  </si>
  <si>
    <t>MATTESON KRISTIN</t>
  </si>
  <si>
    <t>NEPHROLOGY ASSOCIATE</t>
  </si>
  <si>
    <t>E0103145</t>
  </si>
  <si>
    <t>SMITH MARY M</t>
  </si>
  <si>
    <t>SMITH MARY MEIERS</t>
  </si>
  <si>
    <t>4039 ROUTE 219 STE 101</t>
  </si>
  <si>
    <t>E0321601</t>
  </si>
  <si>
    <t>SMYERS KRISTEN L</t>
  </si>
  <si>
    <t>SMYERS KRISTEN DR.</t>
  </si>
  <si>
    <t>E0306828</t>
  </si>
  <si>
    <t>JENNINGS RICHARD ALLAN</t>
  </si>
  <si>
    <t>JENNINGS RICHARD DR.</t>
  </si>
  <si>
    <t>GERRY HOMES INC</t>
  </si>
  <si>
    <t>E0147959</t>
  </si>
  <si>
    <t>HERITAGE GREEN HCC SNF</t>
  </si>
  <si>
    <t>PO BOX 400</t>
  </si>
  <si>
    <t>E0020944</t>
  </si>
  <si>
    <t>STOFFMAN MICHAEL MD</t>
  </si>
  <si>
    <t>STOFFMAN MICHAEL</t>
  </si>
  <si>
    <t>E0303493</t>
  </si>
  <si>
    <t>TUTWILER TARA LYNN</t>
  </si>
  <si>
    <t>RICHARDS TARA</t>
  </si>
  <si>
    <t>RICHARDS TARA LYNN</t>
  </si>
  <si>
    <t>E0288909</t>
  </si>
  <si>
    <t>DEPRIEST CAITLIN ELIZABETH</t>
  </si>
  <si>
    <t>(716) 284-3278</t>
  </si>
  <si>
    <t>BRIGGS CAITLIN MRS.</t>
  </si>
  <si>
    <t>BRIGGS CAITLIN ELIZABETH NP</t>
  </si>
  <si>
    <t>E0228045</t>
  </si>
  <si>
    <t>EARLY AMY                  MD</t>
  </si>
  <si>
    <t>EARLY AMY</t>
  </si>
  <si>
    <t>EARLY AMY P MD</t>
  </si>
  <si>
    <t>E0151768</t>
  </si>
  <si>
    <t>PINSKI JOHN VALENTINE MD</t>
  </si>
  <si>
    <t>PINSKI JOHN MR.</t>
  </si>
  <si>
    <t>PINSKI JOHN VALENTINE</t>
  </si>
  <si>
    <t>E0170994</t>
  </si>
  <si>
    <t>BISHOP GERALD JAY MD</t>
  </si>
  <si>
    <t>BISHOP GERALD</t>
  </si>
  <si>
    <t>BISHOP GERALD JAY</t>
  </si>
  <si>
    <t>12 CENTER ST STE 4</t>
  </si>
  <si>
    <t>E0192044</t>
  </si>
  <si>
    <t>MURRAY KENNETH ROBERT MD</t>
  </si>
  <si>
    <t>MURRAY KENNETH</t>
  </si>
  <si>
    <t>NORTHPOINTE COUNCIL INC</t>
  </si>
  <si>
    <t>E0299500</t>
  </si>
  <si>
    <t>(716) 282-1228</t>
  </si>
  <si>
    <t>CHUDY ASHLEY</t>
  </si>
  <si>
    <t>1280 MAIN ST, 1ST FLOOR</t>
  </si>
  <si>
    <t>NYS ARC INC CATTARAUG HCBS 9</t>
  </si>
  <si>
    <t>E0074545</t>
  </si>
  <si>
    <t>1439 BUFFALO ST # VVF1894</t>
  </si>
  <si>
    <t>CATTARAUGUS CO NYSARC RSP</t>
  </si>
  <si>
    <t>E0040986</t>
  </si>
  <si>
    <t>E0152969</t>
  </si>
  <si>
    <t>MORELAND DOUGLAS B MD PC</t>
  </si>
  <si>
    <t>MORELAND DOUGLAS</t>
  </si>
  <si>
    <t>E0142397</t>
  </si>
  <si>
    <t>ROTH CARL DO</t>
  </si>
  <si>
    <t>ROTH CARL DR.</t>
  </si>
  <si>
    <t>E0291143</t>
  </si>
  <si>
    <t>LIU HONG MD</t>
  </si>
  <si>
    <t>LIU HONG</t>
  </si>
  <si>
    <t>E0296183</t>
  </si>
  <si>
    <t>WEBER RYAN</t>
  </si>
  <si>
    <t>WEBER RYAN DR.</t>
  </si>
  <si>
    <t>WEBER RYAN WILLIAM</t>
  </si>
  <si>
    <t>E0294660</t>
  </si>
  <si>
    <t>CLANCY KRISTIN ANN PA</t>
  </si>
  <si>
    <t>CLANCY KRISTEN MS.</t>
  </si>
  <si>
    <t>E0342157</t>
  </si>
  <si>
    <t>MATIER BRIAN</t>
  </si>
  <si>
    <t>MATIER BRIAN DR.</t>
  </si>
  <si>
    <t>E0309030</t>
  </si>
  <si>
    <t>SABY GEORGE</t>
  </si>
  <si>
    <t>GEORGE SABY</t>
  </si>
  <si>
    <t>E0138050</t>
  </si>
  <si>
    <t>KANSAL SARITA MD</t>
  </si>
  <si>
    <t>KANSAL SARITA DR.</t>
  </si>
  <si>
    <t>KANSAL SARITA</t>
  </si>
  <si>
    <t>725 ORCHARD PARK RD STE B</t>
  </si>
  <si>
    <t>E0136138</t>
  </si>
  <si>
    <t>NEWMAN JAY L MD</t>
  </si>
  <si>
    <t>NEWMAN JAY</t>
  </si>
  <si>
    <t>E0122469</t>
  </si>
  <si>
    <t>CHUGH DENNIS BRIAN</t>
  </si>
  <si>
    <t>CHUGH DENNIS DR.</t>
  </si>
  <si>
    <t>5530 SHERIDAN DR STE 2</t>
  </si>
  <si>
    <t>E0112262</t>
  </si>
  <si>
    <t>MURAWSKI SUSAN</t>
  </si>
  <si>
    <t>MURAWSKI SUSAN MS.</t>
  </si>
  <si>
    <t>138 E MAIN ST</t>
  </si>
  <si>
    <t>E0349961</t>
  </si>
  <si>
    <t>SPITTAL-ASHBY SUSAN</t>
  </si>
  <si>
    <t>ASHBY SUSAN</t>
  </si>
  <si>
    <t>ASHBY SUSAN SPITTAL</t>
  </si>
  <si>
    <t>E0009729</t>
  </si>
  <si>
    <t>FAHRBACH JOHN MD</t>
  </si>
  <si>
    <t>FAHRBACH JOHN DR.</t>
  </si>
  <si>
    <t>E0169568</t>
  </si>
  <si>
    <t>CATTARAUGUS REHAB CTR</t>
  </si>
  <si>
    <t>483 PROSPECT AVE # C/7924430/PROSPECT</t>
  </si>
  <si>
    <t>E0319001</t>
  </si>
  <si>
    <t>RAMBARRAN BRIAN DAVID</t>
  </si>
  <si>
    <t>RAMBARRAN BRIAN DR.</t>
  </si>
  <si>
    <t>CAMBRIA</t>
  </si>
  <si>
    <t>E0126849</t>
  </si>
  <si>
    <t>CAPOTE HORACIO A MD</t>
  </si>
  <si>
    <t>CAPOTE HORACIO</t>
  </si>
  <si>
    <t>MICHIGAN AVE</t>
  </si>
  <si>
    <t>E0016969</t>
  </si>
  <si>
    <t>ROBINSON CAROLA E</t>
  </si>
  <si>
    <t>ROBINSON CAROLA DR.</t>
  </si>
  <si>
    <t>E0297197</t>
  </si>
  <si>
    <t>SCHULTE MARK</t>
  </si>
  <si>
    <t>SCHULTE MARK DR.</t>
  </si>
  <si>
    <t>SCHULTE MARK EVERETT</t>
  </si>
  <si>
    <t>ERIE COUNTY CHAPTER NYSARC INC B2H</t>
  </si>
  <si>
    <t>E0327073</t>
  </si>
  <si>
    <t>E0359524</t>
  </si>
  <si>
    <t>PHIPPS ANDREA ELIZABETH</t>
  </si>
  <si>
    <t>PHIPPS ANDREA MRS.</t>
  </si>
  <si>
    <t>CATT REHAB CENTER INC HCBS</t>
  </si>
  <si>
    <t>E0148905</t>
  </si>
  <si>
    <t>1439 BUFFALO ST # VAB0288</t>
  </si>
  <si>
    <t>ALISANKUS ANTON</t>
  </si>
  <si>
    <t>272 THORN AVE</t>
  </si>
  <si>
    <t>539 CLEVELAND DR PH Y</t>
  </si>
  <si>
    <t>E0383482</t>
  </si>
  <si>
    <t>GLEASON KIRSTIN</t>
  </si>
  <si>
    <t>GLEASON KIRSTIN CADY</t>
  </si>
  <si>
    <t>E0362255</t>
  </si>
  <si>
    <t>PRZYBELINSKI KRISTA</t>
  </si>
  <si>
    <t>PRZYBELINSKI KRISTA M</t>
  </si>
  <si>
    <t>15 S MAIN ST STE 150</t>
  </si>
  <si>
    <t>E0299567</t>
  </si>
  <si>
    <t>GRIFFITHS ELIZABETH ALICE</t>
  </si>
  <si>
    <t>GRIFFITHS ELIZABETH</t>
  </si>
  <si>
    <t>GRIFFITHS ELIZABETH ALICE MD</t>
  </si>
  <si>
    <t>West Seneca</t>
  </si>
  <si>
    <t>Niagara Falls</t>
  </si>
  <si>
    <t>E0210789</t>
  </si>
  <si>
    <t>ARTIM THOMAS S             MD</t>
  </si>
  <si>
    <t>ARTIM THOMAS MR.</t>
  </si>
  <si>
    <t>E0363563</t>
  </si>
  <si>
    <t>SCHLEMM LAURA M</t>
  </si>
  <si>
    <t>SCHLEMM LAURA</t>
  </si>
  <si>
    <t>E0079121</t>
  </si>
  <si>
    <t>SZARZANOWICZ THADDEUS E MD</t>
  </si>
  <si>
    <t>SZARZANOWICZ TADDEUS DR.</t>
  </si>
  <si>
    <t>E0210463</t>
  </si>
  <si>
    <t>SFEIR NORMAN JOHN MD</t>
  </si>
  <si>
    <t>SFEIR NORMAN</t>
  </si>
  <si>
    <t>E0339170</t>
  </si>
  <si>
    <t>HUANG MIRIAM</t>
  </si>
  <si>
    <t>E0166768</t>
  </si>
  <si>
    <t>MAS EDDIE MD</t>
  </si>
  <si>
    <t>MAS EDDIE DR.</t>
  </si>
  <si>
    <t>172 SLADE AVE</t>
  </si>
  <si>
    <t>E0164627</t>
  </si>
  <si>
    <t>PENN HOWARD ARON DPM</t>
  </si>
  <si>
    <t>PENN HOWARD</t>
  </si>
  <si>
    <t>PENN HOWARD ARON</t>
  </si>
  <si>
    <t>1271 RIDGE RD</t>
  </si>
  <si>
    <t>E0111439</t>
  </si>
  <si>
    <t>SIAW PATRICK A MD</t>
  </si>
  <si>
    <t>(716) 862-1984</t>
  </si>
  <si>
    <t>SIAW PATRICK</t>
  </si>
  <si>
    <t>DELAWARE HEIGHTS</t>
  </si>
  <si>
    <t>E0115717</t>
  </si>
  <si>
    <t>RAGHU BELLAMKOND SUNDARA V MD</t>
  </si>
  <si>
    <t>(716) 839-0500</t>
  </si>
  <si>
    <t>RAGHU BELLAMKONDA</t>
  </si>
  <si>
    <t>NIAGARA REHAB NH</t>
  </si>
  <si>
    <t>E0035015</t>
  </si>
  <si>
    <t>PASSMORE NATALIE ANN</t>
  </si>
  <si>
    <t>PASSMORE NATALIE</t>
  </si>
  <si>
    <t>3682 SOUTHWESTERN BLVD</t>
  </si>
  <si>
    <t>E0160092</t>
  </si>
  <si>
    <t>HOGAN HARRIETTE F</t>
  </si>
  <si>
    <t>HOGAN HARRIETTE MRS.</t>
  </si>
  <si>
    <t>E0251917</t>
  </si>
  <si>
    <t>BUFFALO                    PC</t>
  </si>
  <si>
    <t># 12/19/87</t>
  </si>
  <si>
    <t>E0343876</t>
  </si>
  <si>
    <t>KARKUT CHRISTOPHER JOHN</t>
  </si>
  <si>
    <t>KARKUT CHRISTOPHER DR.</t>
  </si>
  <si>
    <t>(716) 856-4201</t>
  </si>
  <si>
    <t>E0303747</t>
  </si>
  <si>
    <t>HEYDEN AMY L</t>
  </si>
  <si>
    <t>HEYDEN AMY</t>
  </si>
  <si>
    <t>3775 SENECA ST</t>
  </si>
  <si>
    <t>E0334573</t>
  </si>
  <si>
    <t>MEGHAN JOAN KURTZ</t>
  </si>
  <si>
    <t>KURTZ MEGHAN</t>
  </si>
  <si>
    <t>KURTZ MEGHAN JOAN</t>
  </si>
  <si>
    <t>E0043713</t>
  </si>
  <si>
    <t>ALMYROUDIS NIKOLAOS MD</t>
  </si>
  <si>
    <t>ALMYROUDIS NIKOLAOS</t>
  </si>
  <si>
    <t>(716) 332-2121</t>
  </si>
  <si>
    <t>640 ELLICOTT ST STE 105</t>
  </si>
  <si>
    <t>E0141378</t>
  </si>
  <si>
    <t>NOVOTNY MARGARET MD</t>
  </si>
  <si>
    <t>NOVOTNY MARGARET DR.</t>
  </si>
  <si>
    <t>E0296115</t>
  </si>
  <si>
    <t>PETERSON ANDREW CRAIG</t>
  </si>
  <si>
    <t>PETERSON ANDREW MR.</t>
  </si>
  <si>
    <t>3673 SOUTHWESTERN BLVD</t>
  </si>
  <si>
    <t>E0036299</t>
  </si>
  <si>
    <t>ROBILLARD  KEVIN MD</t>
  </si>
  <si>
    <t>ROBILLARD KEVIN DR.</t>
  </si>
  <si>
    <t>260 RED TAIL LN</t>
  </si>
  <si>
    <t>E0185892</t>
  </si>
  <si>
    <t>SANSANO MICHAEL JR MD</t>
  </si>
  <si>
    <t>SANSANO MICHAEL DR.</t>
  </si>
  <si>
    <t>MILLARD FILLMORE CLI</t>
  </si>
  <si>
    <t>E0353500</t>
  </si>
  <si>
    <t>SCARBINSKY AISLINN MARIE</t>
  </si>
  <si>
    <t>SCARBINSKY AISLINN DR.</t>
  </si>
  <si>
    <t>310 STERLING DR STE 105</t>
  </si>
  <si>
    <t>E0321950</t>
  </si>
  <si>
    <t>SCHAUS BENJAMIN</t>
  </si>
  <si>
    <t>E0362222</t>
  </si>
  <si>
    <t>SOHAL KUNWARDEEP</t>
  </si>
  <si>
    <t>260 RED TAIL RD</t>
  </si>
  <si>
    <t>E0221718</t>
  </si>
  <si>
    <t>ST MARIE MARK S            MD</t>
  </si>
  <si>
    <t>ST. MARIE MARK</t>
  </si>
  <si>
    <t>ST MARIE MARK S</t>
  </si>
  <si>
    <t>E0143850</t>
  </si>
  <si>
    <t>STEINIG JEFFREY PAUL MD</t>
  </si>
  <si>
    <t>STEINIG JEFFREY DR.</t>
  </si>
  <si>
    <t>JEFFREY PAUL MD</t>
  </si>
  <si>
    <t>E0177930</t>
  </si>
  <si>
    <t>WACKER TIMOTHY R MD</t>
  </si>
  <si>
    <t>WACKER TIMOTHY DR.</t>
  </si>
  <si>
    <t>WACKER TIMOTHY ROBERT</t>
  </si>
  <si>
    <t>50 E NORTH ST</t>
  </si>
  <si>
    <t>E0164241</t>
  </si>
  <si>
    <t>PETERS NANCY J MD</t>
  </si>
  <si>
    <t>PETERS NANCY DR.</t>
  </si>
  <si>
    <t>JEWISH FAMILY SERVICE OF BUFFALO AND ERIE COUNTY</t>
  </si>
  <si>
    <t>E0230880</t>
  </si>
  <si>
    <t>JEWISH FAMILY SVC PSY CLINIC</t>
  </si>
  <si>
    <t>E0090705</t>
  </si>
  <si>
    <t>KHANAM RASHIDA MD</t>
  </si>
  <si>
    <t>KHANAM RASHIDA</t>
  </si>
  <si>
    <t>E0049415</t>
  </si>
  <si>
    <t>WETZEL BEVERLY A RPA</t>
  </si>
  <si>
    <t>CLOSE BEVERLY</t>
  </si>
  <si>
    <t>CLOSE BEVERLY ANN RPA</t>
  </si>
  <si>
    <t>E0061429</t>
  </si>
  <si>
    <t>WIND WILLIAM MICHAEL MD</t>
  </si>
  <si>
    <t>WIND WILLIAM</t>
  </si>
  <si>
    <t>UNIV OF ORTHO SRV</t>
  </si>
  <si>
    <t>E0033876</t>
  </si>
  <si>
    <t>LAJEUNESSE SUZETTE MARIE MD</t>
  </si>
  <si>
    <t>LAJEUNESSE SUZETTE DR.</t>
  </si>
  <si>
    <t>E0139526</t>
  </si>
  <si>
    <t>HELM THOMAS N MD</t>
  </si>
  <si>
    <t>HELM THOMAS DR.</t>
  </si>
  <si>
    <t>E0157646</t>
  </si>
  <si>
    <t>FREUNDEL ANTHONY D MD</t>
  </si>
  <si>
    <t>FREUNDEL ANTHONY DR.</t>
  </si>
  <si>
    <t>FREUNDEL ANTHONY DOUGLAS</t>
  </si>
  <si>
    <t>ST LUKES-ROOSEVELT</t>
  </si>
  <si>
    <t>E0072782</t>
  </si>
  <si>
    <t>MAMNOON SAMEER SHAMOON MD</t>
  </si>
  <si>
    <t>(716) 276-8726</t>
  </si>
  <si>
    <t>MAMNOON SAMEER DR.</t>
  </si>
  <si>
    <t>Suzanne Bissonette</t>
  </si>
  <si>
    <t>(716) 852-4331</t>
  </si>
  <si>
    <t>CAZENOVIA RECOVERY SYSTEMS, INC.</t>
  </si>
  <si>
    <t>200 ALBANY ST</t>
  </si>
  <si>
    <t>200 Albany Street</t>
  </si>
  <si>
    <t>E0451738</t>
  </si>
  <si>
    <t>CAZENOVIA RECOVERY SYSTEMS INC</t>
  </si>
  <si>
    <t>1430 MAIN ST</t>
  </si>
  <si>
    <t>222 RICHMOND AVE</t>
  </si>
  <si>
    <t>605 FILLMORE AVE</t>
  </si>
  <si>
    <t>9136 SANDROCK RD</t>
  </si>
  <si>
    <t>Amherst</t>
  </si>
  <si>
    <t>Olean</t>
  </si>
  <si>
    <t>Summit Educational Resources, Inc.</t>
  </si>
  <si>
    <t>E0336332</t>
  </si>
  <si>
    <t>PEYSER MICHAEL BARDO</t>
  </si>
  <si>
    <t>(716) 626-6300</t>
  </si>
  <si>
    <t>PEYSER MICHAEL</t>
  </si>
  <si>
    <t>E0156374</t>
  </si>
  <si>
    <t>HICKS WESLEY L JR MD</t>
  </si>
  <si>
    <t>HICKS WESLEY</t>
  </si>
  <si>
    <t>E0102871</t>
  </si>
  <si>
    <t>BRACH JOHN MD</t>
  </si>
  <si>
    <t>BRACH JOHN</t>
  </si>
  <si>
    <t>E0362748</t>
  </si>
  <si>
    <t>WOOD CATHERINE L</t>
  </si>
  <si>
    <t>WOOD CATHERINE</t>
  </si>
  <si>
    <t>E0177137</t>
  </si>
  <si>
    <t>BARTHOLOMEW ANTHONY O MD</t>
  </si>
  <si>
    <t>BARTHOLOMEW ANTHONY</t>
  </si>
  <si>
    <t>BARTHOLOMEW ANTHONY ORLANDO</t>
  </si>
  <si>
    <t>E0215807</t>
  </si>
  <si>
    <t>CALABRESE MICHAEL D  MD PC</t>
  </si>
  <si>
    <t>(716) 883-0515</t>
  </si>
  <si>
    <t>CALABRESE MICHAEL</t>
  </si>
  <si>
    <t>CALABRESE MICHAEL D  MD</t>
  </si>
  <si>
    <t>E0223428</t>
  </si>
  <si>
    <t>AQUINO MICHAEL D DPM</t>
  </si>
  <si>
    <t>AQUINO MICHAEL DR.</t>
  </si>
  <si>
    <t>E0135862</t>
  </si>
  <si>
    <t>FROST MARC STEVEN MD</t>
  </si>
  <si>
    <t>FROST MARC</t>
  </si>
  <si>
    <t>E0133882</t>
  </si>
  <si>
    <t>FERGUSON MICHAEL SCOTT</t>
  </si>
  <si>
    <t>FERGUSON MICHAEL DR.</t>
  </si>
  <si>
    <t>E0119508</t>
  </si>
  <si>
    <t>HAQ NADEEM UL MD</t>
  </si>
  <si>
    <t>HAQ NADEEM DR.</t>
  </si>
  <si>
    <t>CARDIOL GRP OF WNY</t>
  </si>
  <si>
    <t>E0137299</t>
  </si>
  <si>
    <t>PISCATELLI JAMES J MD</t>
  </si>
  <si>
    <t>PISCATELLI JAMES DR.</t>
  </si>
  <si>
    <t>E0018915</t>
  </si>
  <si>
    <t>RAMSDELL ROBERT JAMES MD</t>
  </si>
  <si>
    <t>RAMSDELL ROBERT DR.</t>
  </si>
  <si>
    <t>E0201953</t>
  </si>
  <si>
    <t>CARDONE LINDA ANN          MD</t>
  </si>
  <si>
    <t>CARDONE LINDA DR.</t>
  </si>
  <si>
    <t>E0127879</t>
  </si>
  <si>
    <t>LAPOINT PAUL JUSTIN MD</t>
  </si>
  <si>
    <t>LAPOINT PAUL DR.</t>
  </si>
  <si>
    <t>1321 KENSINGTON AVE</t>
  </si>
  <si>
    <t>E0210974</t>
  </si>
  <si>
    <t>ULATOWSKI JEROME J II</t>
  </si>
  <si>
    <t>ULATOWSKI JEROME DR.</t>
  </si>
  <si>
    <t>E0183088</t>
  </si>
  <si>
    <t>GELORMINI JOSEPH L MD</t>
  </si>
  <si>
    <t>GELORMINI JOSEPH</t>
  </si>
  <si>
    <t>E0090202</t>
  </si>
  <si>
    <t>NAMASSIVAYA ARUNDATHI MD</t>
  </si>
  <si>
    <t>NAMASSIVAYA ARUNDATHI</t>
  </si>
  <si>
    <t>2110 GENESEE ST</t>
  </si>
  <si>
    <t>E0088970</t>
  </si>
  <si>
    <t>MEDINA RAFAEL MD</t>
  </si>
  <si>
    <t>MEDINA RAFAEL DR.</t>
  </si>
  <si>
    <t>OPTHALMOLOGY WNY</t>
  </si>
  <si>
    <t>E0314827</t>
  </si>
  <si>
    <t>HERITAGE VILLAGE REH &amp; SKLD NRS INC</t>
  </si>
  <si>
    <t>HERITAGE VILLAGE REHAB AND SKILLED NURSING INC</t>
  </si>
  <si>
    <t>4600 ROUTE 60</t>
  </si>
  <si>
    <t>E0223880</t>
  </si>
  <si>
    <t>SILVERSTEIN DAVID          MD</t>
  </si>
  <si>
    <t>SILVERSTEIN DAVID</t>
  </si>
  <si>
    <t>SILVERSTEIN DAVID MD</t>
  </si>
  <si>
    <t>ABSOLUT CENTER FOR NURSING AND REHABILITATION AT ALLEGANY, LLC</t>
  </si>
  <si>
    <t>E0010054</t>
  </si>
  <si>
    <t>ABSOLUT CTR NR REH ALLEGANY</t>
  </si>
  <si>
    <t>2178 N 5TH ST</t>
  </si>
  <si>
    <t>(716) 882-4900</t>
  </si>
  <si>
    <t>Lancaster</t>
  </si>
  <si>
    <t>(716) 664-3608</t>
  </si>
  <si>
    <t>E0294544</t>
  </si>
  <si>
    <t>DANN SARA KATE</t>
  </si>
  <si>
    <t>DANN SARA</t>
  </si>
  <si>
    <t>E0196476</t>
  </si>
  <si>
    <t>SHIELDS PETER E            MD</t>
  </si>
  <si>
    <t>SHIELDS PETER</t>
  </si>
  <si>
    <t>WNY ORTHOPEDIC GROUP</t>
  </si>
  <si>
    <t>E0057084</t>
  </si>
  <si>
    <t>LOEHFELM ROBYN</t>
  </si>
  <si>
    <t>LOEHFELM ROBYN ELIZABETH RPA</t>
  </si>
  <si>
    <t>E0165980</t>
  </si>
  <si>
    <t>SHAH SIDDHARTHA S MD</t>
  </si>
  <si>
    <t>SHAH SIDDHARTHA</t>
  </si>
  <si>
    <t>E0058968</t>
  </si>
  <si>
    <t>OO GEEMSON</t>
  </si>
  <si>
    <t>(716) 712-0920</t>
  </si>
  <si>
    <t>BUFFALO GEN HOSPITAL</t>
  </si>
  <si>
    <t>E0192298</t>
  </si>
  <si>
    <t>CHAU TERESA MD</t>
  </si>
  <si>
    <t>CHAU TERESA</t>
  </si>
  <si>
    <t>E0143393</t>
  </si>
  <si>
    <t>SKOMRA CHRISTOPHER J MD</t>
  </si>
  <si>
    <t>SKOMRA CHRISTOPHER DR.</t>
  </si>
  <si>
    <t>SKOMRA CHRISTOPHER JUDE</t>
  </si>
  <si>
    <t>Niagara County Department of Mental Health</t>
  </si>
  <si>
    <t>E0237805</t>
  </si>
  <si>
    <t>NIAGARA CNTY MNTL HLTH N FALL</t>
  </si>
  <si>
    <t>1001 11TH ST TROTT ACCESS CTR</t>
  </si>
  <si>
    <t>E0065700</t>
  </si>
  <si>
    <t>CARBONE THERESA JEAN</t>
  </si>
  <si>
    <t>CARBONE THERESA</t>
  </si>
  <si>
    <t>(716) 874-2797</t>
  </si>
  <si>
    <t>nborkowski@nacswny.org</t>
  </si>
  <si>
    <t>HOLLER-KENNEDY GAIL</t>
  </si>
  <si>
    <t>7348 BEAR RIDGE RD</t>
  </si>
  <si>
    <t>E0325303</t>
  </si>
  <si>
    <t>WARD JENNIFER MARIE</t>
  </si>
  <si>
    <t>WARD JENNIFER</t>
  </si>
  <si>
    <t>(716) 338-0010</t>
  </si>
  <si>
    <t>abdella@cchn.net</t>
  </si>
  <si>
    <t>(716) 532-1010</t>
  </si>
  <si>
    <t>Donna Kahm</t>
  </si>
  <si>
    <t>Family Life Center</t>
  </si>
  <si>
    <t>Michael Chapman</t>
  </si>
  <si>
    <t>(716) 858-8538</t>
  </si>
  <si>
    <t>CATTARAUGUS REHABILITATION CENTER INC</t>
  </si>
  <si>
    <t>Karen Randolph</t>
  </si>
  <si>
    <t>(716) 373-2238</t>
  </si>
  <si>
    <t>krandolph@absolutcare.com</t>
  </si>
  <si>
    <t>E0133926</t>
  </si>
  <si>
    <t>ABSOLUT CTR /NRS REH AT SALAMANCA</t>
  </si>
  <si>
    <t>Kevin Kennedy</t>
  </si>
  <si>
    <t>(716) 945-1800</t>
  </si>
  <si>
    <t>ABSOLUT CENTER FOR NURSING AND REHABILITATION AT SALAMANCA, LLC</t>
  </si>
  <si>
    <t>451 BROAD ST</t>
  </si>
  <si>
    <t>E0033713</t>
  </si>
  <si>
    <t>CUMBO THOMAS ANTHONY MD</t>
  </si>
  <si>
    <t>(866) 575-4157</t>
  </si>
  <si>
    <t>99 S ERIE ST</t>
  </si>
  <si>
    <t>Mayville</t>
  </si>
  <si>
    <t>(716) 753-4123</t>
  </si>
  <si>
    <t>MENTAL HEALTH SERVICES OF ERIE COUNTY, SOUTHEAST CORP. V</t>
  </si>
  <si>
    <t>E0339218</t>
  </si>
  <si>
    <t>MENTAL HEALTH SERVICES-ERIE COUNTY</t>
  </si>
  <si>
    <t>ERIE COUNTY SOUTHEAST CORP V</t>
  </si>
  <si>
    <t>E0185522</t>
  </si>
  <si>
    <t>SPECTRUM HUMAN SERVICES MH</t>
  </si>
  <si>
    <t>MENTAL HEALTH SERVICES OF ERIE COUNTY SECV</t>
  </si>
  <si>
    <t>MENTAL HEALTH SERVCIES OF ERIE COUNTY SECV</t>
  </si>
  <si>
    <t>MENTAL HEALTH SERVICES OR ERIE COUNTY SECV</t>
  </si>
  <si>
    <t>(716) 884-9101</t>
  </si>
  <si>
    <t>E0230309</t>
  </si>
  <si>
    <t>CAMPIONE PETER A           MD</t>
  </si>
  <si>
    <t>CAMPIONE PETER DR.</t>
  </si>
  <si>
    <t>E0180343</t>
  </si>
  <si>
    <t>ROTHMAN ILENE L MD</t>
  </si>
  <si>
    <t>ROTHMAN ILENE</t>
  </si>
  <si>
    <t>ROTHMAN ILENE LESLIE</t>
  </si>
  <si>
    <t>5320 MILITARY RD STE 103</t>
  </si>
  <si>
    <t>E0156175</t>
  </si>
  <si>
    <t>KELLY JAMES JOSEPH DO</t>
  </si>
  <si>
    <t>KELLY JAMES</t>
  </si>
  <si>
    <t>BFLO HAND SURGERY</t>
  </si>
  <si>
    <t>E0206867</t>
  </si>
  <si>
    <t>BOJEDLA VIJAY K</t>
  </si>
  <si>
    <t>(716) 284-8333</t>
  </si>
  <si>
    <t>BOJEDLA VIJAY DR.</t>
  </si>
  <si>
    <t>1404 PINE AVE</t>
  </si>
  <si>
    <t>E0115713</t>
  </si>
  <si>
    <t>SCHLEHR FRANK</t>
  </si>
  <si>
    <t>(716) 626-1824</t>
  </si>
  <si>
    <t>SCHLEHR FRANK DR.</t>
  </si>
  <si>
    <t>E0342451</t>
  </si>
  <si>
    <t>MELANSON JULIA DIANE</t>
  </si>
  <si>
    <t>MELANSON JULIA</t>
  </si>
  <si>
    <t>E0010310</t>
  </si>
  <si>
    <t>KITA JOSEPH THOMAS  MD</t>
  </si>
  <si>
    <t>KITA JOSEPH DR.</t>
  </si>
  <si>
    <t>E0110407</t>
  </si>
  <si>
    <t>SONIWALA SAIFUDDIN MD</t>
  </si>
  <si>
    <t>SONIWALA SAIFUDDIN DR.</t>
  </si>
  <si>
    <t>3831 HARLEM RD</t>
  </si>
  <si>
    <t>E0180702</t>
  </si>
  <si>
    <t>VETRANO ANTHONY T MD</t>
  </si>
  <si>
    <t>VETRANO ANTHONY DR.</t>
  </si>
  <si>
    <t>VETRANO ANTHONY T</t>
  </si>
  <si>
    <t>CENTURY-AIRPORT PEDS</t>
  </si>
  <si>
    <t>E0061799</t>
  </si>
  <si>
    <t>SMITH MATTHEW E MD</t>
  </si>
  <si>
    <t>SMITH MATTHEW DR.</t>
  </si>
  <si>
    <t>E0074170</t>
  </si>
  <si>
    <t>KAPLAN LEONARD DO</t>
  </si>
  <si>
    <t>KAPLAN LEONARD DR.</t>
  </si>
  <si>
    <t>E0369514</t>
  </si>
  <si>
    <t>JAFARI KATHERINE MARIE</t>
  </si>
  <si>
    <t>JAFARI KATHERINE MS.</t>
  </si>
  <si>
    <t>E0374534</t>
  </si>
  <si>
    <t>NAZARETH HELEN MARIE</t>
  </si>
  <si>
    <t>NAZARETH HELEN</t>
  </si>
  <si>
    <t>GRIFFING CINDY MRS.</t>
  </si>
  <si>
    <t>29 MAIN ST</t>
  </si>
  <si>
    <t>E0316107</t>
  </si>
  <si>
    <t>BEAUPIN LYNDA MYONG</t>
  </si>
  <si>
    <t>BEAUPIN LYNDA</t>
  </si>
  <si>
    <t>E0312784</t>
  </si>
  <si>
    <t>FARRUGIA DAVID JOSEPH JR</t>
  </si>
  <si>
    <t>FARRUGIA DAVID DR.</t>
  </si>
  <si>
    <t>E0123846</t>
  </si>
  <si>
    <t>LOVE ELIZABETH M MD</t>
  </si>
  <si>
    <t>LOVE ELIZABETH</t>
  </si>
  <si>
    <t>NORTHGATE MANOR HCF</t>
  </si>
  <si>
    <t>715 FALCONER ST</t>
  </si>
  <si>
    <t>jalmeter@olv-bvs.org</t>
  </si>
  <si>
    <t>780 Ridge Road</t>
  </si>
  <si>
    <t>mhoward@rehabcenter.org</t>
  </si>
  <si>
    <t>WARREN</t>
  </si>
  <si>
    <t>E0327882</t>
  </si>
  <si>
    <t>PLESKOW HEATHER</t>
  </si>
  <si>
    <t>PLESKOW HEATHER DR.</t>
  </si>
  <si>
    <t>6930 WILLIAMS RD</t>
  </si>
  <si>
    <t>2914 ELMWOOD AVE</t>
  </si>
  <si>
    <t>E0385245</t>
  </si>
  <si>
    <t>SCHNEIDER JACLYN M</t>
  </si>
  <si>
    <t>SCHNEIDER JACLYN</t>
  </si>
  <si>
    <t>Mental Health Association of Erie County</t>
  </si>
  <si>
    <t>(716) 886-1242</t>
  </si>
  <si>
    <t>999 Delaware Avenue</t>
  </si>
  <si>
    <t>Mental Health Association in Cattaraugus County</t>
  </si>
  <si>
    <t>Joann McAndrew</t>
  </si>
  <si>
    <t>(716) 372-0208</t>
  </si>
  <si>
    <t>70 Barker Street</t>
  </si>
  <si>
    <t>E0155698</t>
  </si>
  <si>
    <t>MCGRATH BRIAN E MD</t>
  </si>
  <si>
    <t>MCGRATH BRIAN</t>
  </si>
  <si>
    <t>E0136984</t>
  </si>
  <si>
    <t>ALBRECHT FRIEDRICH JOACHIM MD</t>
  </si>
  <si>
    <t>ALBRECHT FRIEDRICH DR.</t>
  </si>
  <si>
    <t>MF HEALTH SYS INTL M</t>
  </si>
  <si>
    <t>E0293619</t>
  </si>
  <si>
    <t>JEFFREY WADE MARTINEZ</t>
  </si>
  <si>
    <t>MARTINEZ JEFFREY DR.</t>
  </si>
  <si>
    <t>MARTINEZ JEFFREY WADE</t>
  </si>
  <si>
    <t>1829 MAPLE RD STE 202</t>
  </si>
  <si>
    <t>E0234401</t>
  </si>
  <si>
    <t>MENCHINI JOHN P            MD</t>
  </si>
  <si>
    <t>MENCHINI JOHN</t>
  </si>
  <si>
    <t>E0115752</t>
  </si>
  <si>
    <t>ROEHMHOLDT JOHN</t>
  </si>
  <si>
    <t>ROEHMHOLDT JOHN DR.</t>
  </si>
  <si>
    <t>ROEHMHOLDT JOHN MICHAEL</t>
  </si>
  <si>
    <t>3085 HARLEM RD/STE 200</t>
  </si>
  <si>
    <t>E0228324</t>
  </si>
  <si>
    <t>BATES VERNICE E            MD</t>
  </si>
  <si>
    <t>BATES VERNICE</t>
  </si>
  <si>
    <t>DENT NEUROLOGIC INST</t>
  </si>
  <si>
    <t>E0267651</t>
  </si>
  <si>
    <t>LUTHERN RETIREMENT HOME</t>
  </si>
  <si>
    <t>UNIV GYN-OB INC</t>
  </si>
  <si>
    <t>E0049589</t>
  </si>
  <si>
    <t>ROLLER JENNIFER LYNN MD</t>
  </si>
  <si>
    <t>ROLLER JENNIFER</t>
  </si>
  <si>
    <t>ROLLER JENNIFER LYNN</t>
  </si>
  <si>
    <t>KIDS ALLIANCE PED</t>
  </si>
  <si>
    <t>E0129630</t>
  </si>
  <si>
    <t>HALL JOHN DAVID MD</t>
  </si>
  <si>
    <t>HALL JOHN</t>
  </si>
  <si>
    <t>HALL JOHN DAVID</t>
  </si>
  <si>
    <t>E0165493</t>
  </si>
  <si>
    <t>MEHOLICK ALAN W MD</t>
  </si>
  <si>
    <t>MEHOLICK ALAN</t>
  </si>
  <si>
    <t>E0335865</t>
  </si>
  <si>
    <t>JEYAPALAN GERALD RAJISH</t>
  </si>
  <si>
    <t>JEYAPALAN GERALD DR.</t>
  </si>
  <si>
    <t>E0109936</t>
  </si>
  <si>
    <t>GUPTA ALOK DEEP MD</t>
  </si>
  <si>
    <t>GUPTA ALOK</t>
  </si>
  <si>
    <t>E0104418</t>
  </si>
  <si>
    <t>O'DONNELL KATHERINE ANNE MD</t>
  </si>
  <si>
    <t>O'DONNELL KATHERINE</t>
  </si>
  <si>
    <t>E0138931</t>
  </si>
  <si>
    <t>FAYYAZ MOHAMMAD MD</t>
  </si>
  <si>
    <t>FAYYAZ MOHAMMAD DR.</t>
  </si>
  <si>
    <t>BAKER HALL INC</t>
  </si>
  <si>
    <t>E0318465</t>
  </si>
  <si>
    <t>BAKER HALL INC DBA CHILD PRO</t>
  </si>
  <si>
    <t>4985 HARLEM RD</t>
  </si>
  <si>
    <t>YOUNGSTOWN</t>
  </si>
  <si>
    <t>E0142722</t>
  </si>
  <si>
    <t>BRUNO JR AUGUST ANDREW MD</t>
  </si>
  <si>
    <t>BRUNO AUGUST DR.</t>
  </si>
  <si>
    <t>1072 E LOVEJOY ST</t>
  </si>
  <si>
    <t>E0182695</t>
  </si>
  <si>
    <t>DIAZ ORDAZ ALBERT JOSE LUIS</t>
  </si>
  <si>
    <t>DIAZ-ORDAZ ALBERT</t>
  </si>
  <si>
    <t>3653 HARLEM RD</t>
  </si>
  <si>
    <t>E0057183</t>
  </si>
  <si>
    <t>FISHER DAVID M</t>
  </si>
  <si>
    <t>FISHER DAVID DR.</t>
  </si>
  <si>
    <t>E0091108</t>
  </si>
  <si>
    <t>GENEWICK TIFFANY B MD</t>
  </si>
  <si>
    <t>GENEWICK TIFFANY DR.</t>
  </si>
  <si>
    <t>E0067650</t>
  </si>
  <si>
    <t>HASSENFRATZ JAY THOMAS DPM</t>
  </si>
  <si>
    <t>HASSENFRATZ JAY</t>
  </si>
  <si>
    <t>1026 UNION RD</t>
  </si>
  <si>
    <t>E0112745</t>
  </si>
  <si>
    <t>LITTLER SUSAN J MD</t>
  </si>
  <si>
    <t>LITTLER SUSAN DR.</t>
  </si>
  <si>
    <t>E0013136</t>
  </si>
  <si>
    <t>MAHONEY ELIZABETH LAETITIA MD</t>
  </si>
  <si>
    <t>MAHONEY ELIZABETH</t>
  </si>
  <si>
    <t>E0227358</t>
  </si>
  <si>
    <t>BERKE ROBERT               MD</t>
  </si>
  <si>
    <t>BERKE ROBERT DR.</t>
  </si>
  <si>
    <t>BERKE ROBERT</t>
  </si>
  <si>
    <t>95 EAST CHAUTAUGUA S</t>
  </si>
  <si>
    <t>E0143557</t>
  </si>
  <si>
    <t>VASQUEZ MICHAEL A MD PC</t>
  </si>
  <si>
    <t>VASQUEZ MICHAEL DR.</t>
  </si>
  <si>
    <t>VASQUEZ MICHAEL A MD</t>
  </si>
  <si>
    <t>E0135247</t>
  </si>
  <si>
    <t>WATT COURTENAY C MD</t>
  </si>
  <si>
    <t>WATT COURTENAY DR.</t>
  </si>
  <si>
    <t>E0070220</t>
  </si>
  <si>
    <t>NYLANDER EMMEKUNLA KAREN MD</t>
  </si>
  <si>
    <t>NYLANDER EMMEKUNLA</t>
  </si>
  <si>
    <t>E0007959</t>
  </si>
  <si>
    <t>BURKE AMY J</t>
  </si>
  <si>
    <t>(716) 362-3909</t>
  </si>
  <si>
    <t>BURKE AMY</t>
  </si>
  <si>
    <t>BURKE AMY J MD</t>
  </si>
  <si>
    <t>CATTARAUGUS REHABILITATION CTR DAY</t>
  </si>
  <si>
    <t>E0286742</t>
  </si>
  <si>
    <t>CATTARAUGUS CO CHAP NYSARC HCBS 11</t>
  </si>
  <si>
    <t>E0316443</t>
  </si>
  <si>
    <t>PARKVIEW HEALTH SERVICE OF NEW YORK LLC</t>
  </si>
  <si>
    <t>E0024921</t>
  </si>
  <si>
    <t>PARKVIEW HEALTH SERVICES OF NEW YOR</t>
  </si>
  <si>
    <t>(716) 876-2323</t>
  </si>
  <si>
    <t>1770 COLVIN BOULEVAR</t>
  </si>
  <si>
    <t>Buffalo Prenatal Perinatal Network</t>
  </si>
  <si>
    <t>(716) 884-6711</t>
  </si>
  <si>
    <t>_______</t>
  </si>
  <si>
    <t>(716) 250-2400</t>
  </si>
  <si>
    <t>Prevention Focus</t>
  </si>
  <si>
    <t>(716) 884-3256</t>
  </si>
  <si>
    <t>msmith@preventionfocus.org</t>
  </si>
  <si>
    <t>69 Linwood Ave</t>
  </si>
  <si>
    <t>E0079490</t>
  </si>
  <si>
    <t>HORIZON HEALTH SERVICES MH</t>
  </si>
  <si>
    <t>HORIZON HEALTH SERVICES, INC.</t>
  </si>
  <si>
    <t>HORIZON HEALTH SERVICES INC</t>
  </si>
  <si>
    <t>2400 PINE AVE</t>
  </si>
  <si>
    <t>E0379246</t>
  </si>
  <si>
    <t>LYON CHERYL</t>
  </si>
  <si>
    <t>LYON CHERYL LYNN</t>
  </si>
  <si>
    <t>206 S ELMWOOD AVE STE 2</t>
  </si>
  <si>
    <t>David Smeltzer</t>
  </si>
  <si>
    <t>dsmeltzer@heritage1886.org</t>
  </si>
  <si>
    <t>GERRY HOMES, INC</t>
  </si>
  <si>
    <t>E0010923</t>
  </si>
  <si>
    <t>VIRTUOSO CRISTINA ELLIA</t>
  </si>
  <si>
    <t>VIRTUOSO CRISTINA MS.</t>
  </si>
  <si>
    <t>Gowanda</t>
  </si>
  <si>
    <t>ERIE COUNTY MED CTR</t>
  </si>
  <si>
    <t>229 MAIN ST</t>
  </si>
  <si>
    <t>Catholic Medical Partners</t>
  </si>
  <si>
    <t>144 Genesee Street</t>
  </si>
  <si>
    <t>E0383248</t>
  </si>
  <si>
    <t>CHRISTOPHER ANDREA</t>
  </si>
  <si>
    <t>TALLCHIEF ANDREA</t>
  </si>
  <si>
    <t>TALLCHIEF ANDREA NICOLE</t>
  </si>
  <si>
    <t>E0020817</t>
  </si>
  <si>
    <t>AHMAD ANEES MD</t>
  </si>
  <si>
    <t>AHMAD ANEES MR.</t>
  </si>
  <si>
    <t>AHMAD ANEES</t>
  </si>
  <si>
    <t>E0301384</t>
  </si>
  <si>
    <t>ABSOLUT CTR NRS &amp; REH AT DUNKIRK</t>
  </si>
  <si>
    <t>mhriczko@absolutcare.com</t>
  </si>
  <si>
    <t>ABSOLUT CENTER FOR NURSING AND REHABILITATION AT DUNKIRK, LLC</t>
  </si>
  <si>
    <t>447 449 LAKESHORE DR</t>
  </si>
  <si>
    <t>E0143868</t>
  </si>
  <si>
    <t>ABSOLUT CTR NUR/REHAB AT HOUGHTON</t>
  </si>
  <si>
    <t>ABSOLUT CENTER FOR NURSING AND REHABILITATION AT HOUGHTON, LLC</t>
  </si>
  <si>
    <t>9876 LUCKEY DR</t>
  </si>
  <si>
    <t>E0322769</t>
  </si>
  <si>
    <t>INCE-MERCER LEIA K MD</t>
  </si>
  <si>
    <t>INCE-MERCER LEIA</t>
  </si>
  <si>
    <t>E0206511</t>
  </si>
  <si>
    <t>NORTHPOINTE COUNCIL, INC</t>
  </si>
  <si>
    <t>NORTHPOINTE COUNCIL, INC.</t>
  </si>
  <si>
    <t>E0230847</t>
  </si>
  <si>
    <t>NORTH GATE HEALTH CARE FACILI</t>
  </si>
  <si>
    <t>Stephen Mercurio</t>
  </si>
  <si>
    <t>(716) 826-2010</t>
  </si>
  <si>
    <t>smercurio@mcguiregroup.com</t>
  </si>
  <si>
    <t>NORTHGATE HEALTH CARE FACILITY LLC</t>
  </si>
  <si>
    <t>7264 NASH RD</t>
  </si>
  <si>
    <t>E0251994</t>
  </si>
  <si>
    <t>SENECA HEALTH CARE CENTER</t>
  </si>
  <si>
    <t>SENECA HEALTH CARE CENTER LLC</t>
  </si>
  <si>
    <t>2987 SENECA ST</t>
  </si>
  <si>
    <t>E0223298</t>
  </si>
  <si>
    <t>AUTUMN VIEW HEALTH CR FACILIT</t>
  </si>
  <si>
    <t>AUTUMN VIEW HEALTH CARE FACILITY LLC</t>
  </si>
  <si>
    <t>AUTUMN VIEW HEALTH CARE FAC</t>
  </si>
  <si>
    <t>S 4650 SOUTHWEST BLV</t>
  </si>
  <si>
    <t>(716) 847-2500</t>
  </si>
  <si>
    <t>KALEIDA HEALTH WATERFRONT HEALTH CARE CENTER</t>
  </si>
  <si>
    <t>E0252007</t>
  </si>
  <si>
    <t>GARDEN GATE HLTH CR FACILITY</t>
  </si>
  <si>
    <t>GARDEN GATE HEALTH CARE FACILITY LLC</t>
  </si>
  <si>
    <t>E0167559</t>
  </si>
  <si>
    <t>HARRIS HILL NURSING FACILITY</t>
  </si>
  <si>
    <t>HARRIS HILL NURSING FACILITY, LLC</t>
  </si>
  <si>
    <t>2699 WEHRLE DR</t>
  </si>
  <si>
    <t>E0310642</t>
  </si>
  <si>
    <t>MURPHY TIMOTHY</t>
  </si>
  <si>
    <t>MURPHY TIMOTHY DR.</t>
  </si>
  <si>
    <t>MURPHY TIMOTHY G</t>
  </si>
  <si>
    <t>227 RIDGE RD</t>
  </si>
  <si>
    <t>E0147958</t>
  </si>
  <si>
    <t>HERITAGE PK HCC SNF</t>
  </si>
  <si>
    <t>GERRY HOMES</t>
  </si>
  <si>
    <t>150 PRATHER AVE</t>
  </si>
  <si>
    <t>Frank Azzarelli</t>
  </si>
  <si>
    <t>WIER STACIE MS.</t>
  </si>
  <si>
    <t>E0037186</t>
  </si>
  <si>
    <t>WIER STACIE L</t>
  </si>
  <si>
    <t>WIER STACIE LEE</t>
  </si>
  <si>
    <t>BRIEN JENNIFER MRS.</t>
  </si>
  <si>
    <t>E0043743</t>
  </si>
  <si>
    <t>BRIEN JENNIFER</t>
  </si>
  <si>
    <t>300 ESSJAY RD STE 100</t>
  </si>
  <si>
    <t>NASCA JOSEPH DR.</t>
  </si>
  <si>
    <t>E0205224</t>
  </si>
  <si>
    <t>NASCA JOSEPH MICHAEL DPM</t>
  </si>
  <si>
    <t>NASCA JOSEPH MICHAEL</t>
  </si>
  <si>
    <t>369 KENMORE AVE</t>
  </si>
  <si>
    <t>GLOSE HEATHER</t>
  </si>
  <si>
    <t>E0390330</t>
  </si>
  <si>
    <t>GLOSE HEATHER JULIA</t>
  </si>
  <si>
    <t>URGO JAMES MR.</t>
  </si>
  <si>
    <t>E0079861</t>
  </si>
  <si>
    <t>URGO JAMES RONALD</t>
  </si>
  <si>
    <t>7430 OLEAN RD</t>
  </si>
  <si>
    <t>HOLLAND</t>
  </si>
  <si>
    <t>(585) 786-8871</t>
  </si>
  <si>
    <t>nbalbick@wyomingco.net</t>
  </si>
  <si>
    <t>VASCUSCRIPT INC</t>
  </si>
  <si>
    <t>E0295957</t>
  </si>
  <si>
    <t>Scott Monte</t>
  </si>
  <si>
    <t>(716) 247-5300</t>
  </si>
  <si>
    <t>scott.monte@mpswny.com</t>
  </si>
  <si>
    <t>2470 WALDEN AVE STE 2400</t>
  </si>
  <si>
    <t>UNIV RADIOLOGY</t>
  </si>
  <si>
    <t>401 MAIN STREET</t>
  </si>
  <si>
    <t>200 LOTHROP ST STE 3950</t>
  </si>
  <si>
    <t>44 HOLLAND AVE</t>
  </si>
  <si>
    <t>THOMAS JULIE</t>
  </si>
  <si>
    <t>HUSAIN SYED</t>
  </si>
  <si>
    <t>GAINESVILLE</t>
  </si>
  <si>
    <t>2500 METROHEALTH DR</t>
  </si>
  <si>
    <t>GUPTA VISHAL</t>
  </si>
  <si>
    <t>KELLY MARY</t>
  </si>
  <si>
    <t>E0186155</t>
  </si>
  <si>
    <t>OFFICE MENTAL HEALTH MH</t>
  </si>
  <si>
    <t>NEW YORK STATE OFFICE OF MENTAL HEALTH</t>
  </si>
  <si>
    <t>E0065701</t>
  </si>
  <si>
    <t>ABDELHALIM AHMED N</t>
  </si>
  <si>
    <t>BELAL AHMED</t>
  </si>
  <si>
    <t>BELAL AHMED NABIL</t>
  </si>
  <si>
    <t>HERMAN STEVEN</t>
  </si>
  <si>
    <t>ST JOHN'S QUEENS HOS</t>
  </si>
  <si>
    <t>KAUR SANDEEP</t>
  </si>
  <si>
    <t>Michael Mitchell</t>
  </si>
  <si>
    <t>MITCHELL MICHAEL</t>
  </si>
  <si>
    <t>Ezicari@hcrhealth.com</t>
  </si>
  <si>
    <t>susan.lisker@oasas.ny.gov</t>
  </si>
  <si>
    <t>Mohaned Al-Humadi</t>
  </si>
  <si>
    <t>Sami Manirath</t>
  </si>
  <si>
    <t>(716) 375-6962</t>
  </si>
  <si>
    <t>smanirath@uahs.org</t>
  </si>
  <si>
    <t>Molly J. Zittel DO</t>
  </si>
  <si>
    <t>E0115734</t>
  </si>
  <si>
    <t>ZITTEL MOLLY</t>
  </si>
  <si>
    <t>Brian Zittel</t>
  </si>
  <si>
    <t>(716) 652-5499</t>
  </si>
  <si>
    <t>bzittel@yahoo.com</t>
  </si>
  <si>
    <t>Prac CMP PCP</t>
  </si>
  <si>
    <t>Moneer Khalil MD</t>
  </si>
  <si>
    <t>Maccella Phillips</t>
  </si>
  <si>
    <t>(716) 630-1288</t>
  </si>
  <si>
    <t>mphillips@buffalomedicalgroup.com</t>
  </si>
  <si>
    <t>Monique Mirshak MD</t>
  </si>
  <si>
    <t>E0006969</t>
  </si>
  <si>
    <t>MIRSHAK MONIQUE</t>
  </si>
  <si>
    <t>Jennifer Blackchief</t>
  </si>
  <si>
    <t>(716) 881-4247</t>
  </si>
  <si>
    <t>jblackchief@teamhealth.com</t>
  </si>
  <si>
    <t>MIRSHAK MONIQUE DR.</t>
  </si>
  <si>
    <t>MIRSHAK MONIQUE MD</t>
  </si>
  <si>
    <t>Prac CMP Non PCP</t>
  </si>
  <si>
    <t>Morris Cavalieri MD</t>
  </si>
  <si>
    <t>Noreen Ippolito</t>
  </si>
  <si>
    <t>nippolito@live.com</t>
  </si>
  <si>
    <t>Mount St. Mary's Hospital &amp; Health Center</t>
  </si>
  <si>
    <t>E0125365</t>
  </si>
  <si>
    <t>MOUNT ST MARY HSP HLTH CTR</t>
  </si>
  <si>
    <t>Bernadette Franjione</t>
  </si>
  <si>
    <t>(716) 298-2198</t>
  </si>
  <si>
    <t>bernadette.franjione@msmh.org</t>
  </si>
  <si>
    <t>MOUNT ST. MARY'S HOSPITAL OF NIAGARA FALLS</t>
  </si>
  <si>
    <t>MOUNT ST MARYS HSP OF NIAGARA FALLS</t>
  </si>
  <si>
    <t>Org Hospital</t>
  </si>
  <si>
    <t>Mrinalini Meesala MD</t>
  </si>
  <si>
    <t>Karen Labelle</t>
  </si>
  <si>
    <t>klabelle@cgwny.com</t>
  </si>
  <si>
    <t>Muzamil Rana MD</t>
  </si>
  <si>
    <t>Peter Holdsworth</t>
  </si>
  <si>
    <t>pholdsworth@northtownscardiology.com</t>
  </si>
  <si>
    <t>Nadeem U L Haq MD</t>
  </si>
  <si>
    <t>Nadezhda Polataiko MD</t>
  </si>
  <si>
    <t>E0099287</t>
  </si>
  <si>
    <t>POLATAIKO NADEZHDA E MD</t>
  </si>
  <si>
    <t>Eileen Joyce</t>
  </si>
  <si>
    <t>(716) 447-6450</t>
  </si>
  <si>
    <t>ejoyce@chsbuffalo.org</t>
  </si>
  <si>
    <t>POLATAIKO NADIA</t>
  </si>
  <si>
    <t>300 TWO MILE CREEK RD</t>
  </si>
  <si>
    <t>Nady Shehata MD</t>
  </si>
  <si>
    <t>Diane Wojtan</t>
  </si>
  <si>
    <t>dwojtan@apwny.com</t>
  </si>
  <si>
    <t>Naim Dawli MD</t>
  </si>
  <si>
    <t>E0231865</t>
  </si>
  <si>
    <t>DAWLI NAIM A               MD</t>
  </si>
  <si>
    <t>Marlene Zielinski</t>
  </si>
  <si>
    <t>(716) 862-1066</t>
  </si>
  <si>
    <t>marlenezielinski@yahoo.com</t>
  </si>
  <si>
    <t>DAWLI NAIM</t>
  </si>
  <si>
    <t>2158 MAIN ST</t>
  </si>
  <si>
    <t>Naima A. Mian DO</t>
  </si>
  <si>
    <t>Alice Dinunzio</t>
  </si>
  <si>
    <t>adinunzio@gastroassocllp.com</t>
  </si>
  <si>
    <t>Najat Turaif MD</t>
  </si>
  <si>
    <t>Kathleen Darczewski</t>
  </si>
  <si>
    <t>kathyd@buffaloheartgroup.com</t>
  </si>
  <si>
    <t>Najmul Khan</t>
  </si>
  <si>
    <t>E0348330</t>
  </si>
  <si>
    <t>KHAN NAJMUL HASAN</t>
  </si>
  <si>
    <t>(203) 570-5667</t>
  </si>
  <si>
    <t>KHAN NAJMUL DR.</t>
  </si>
  <si>
    <t>15 NORTHLAND AVENUE</t>
  </si>
  <si>
    <t>Nalini J Namassivaya MD</t>
  </si>
  <si>
    <t>Gina Gray</t>
  </si>
  <si>
    <t>ginagray3@gmail.com</t>
  </si>
  <si>
    <t>Nancy Peters MD</t>
  </si>
  <si>
    <t>Naren Kansal MD</t>
  </si>
  <si>
    <t>E0193331</t>
  </si>
  <si>
    <t>KANSAL NARENDRA MD</t>
  </si>
  <si>
    <t>Patricia Fischer</t>
  </si>
  <si>
    <t>(716) 675-5010</t>
  </si>
  <si>
    <t>nskansal@yahoo.com</t>
  </si>
  <si>
    <t>KANSAL NARENDRA DR.</t>
  </si>
  <si>
    <t>KANSAL NARENDRA</t>
  </si>
  <si>
    <t>Naresh Jain MD</t>
  </si>
  <si>
    <t>Michelle .</t>
  </si>
  <si>
    <t>nfphysician@yahoo.com</t>
  </si>
  <si>
    <t>Narhari M. Panchal MD</t>
  </si>
  <si>
    <t>Pam Schnell</t>
  </si>
  <si>
    <t>npanchal350@gmail.com</t>
  </si>
  <si>
    <t>Prac Other EN Non PCP</t>
  </si>
  <si>
    <t>Nashat Rabadi MD</t>
  </si>
  <si>
    <t>buffalorabadi@aol.com</t>
  </si>
  <si>
    <t>Natalie Pierce</t>
  </si>
  <si>
    <t>Nanette Bartkowiak</t>
  </si>
  <si>
    <t>nanb@wfpweb.net</t>
  </si>
  <si>
    <t>Prac CCHN</t>
  </si>
  <si>
    <t>Nathan Billings MD</t>
  </si>
  <si>
    <t>E0311749</t>
  </si>
  <si>
    <t>BILLINGS NATHANIEL PROCH</t>
  </si>
  <si>
    <t>BILLINGS NATHAN DR.</t>
  </si>
  <si>
    <t>National Kidney Foundation</t>
  </si>
  <si>
    <t>Diana Jason</t>
  </si>
  <si>
    <t>(585) 598-3963</t>
  </si>
  <si>
    <t>diana.jason@kidney.org</t>
  </si>
  <si>
    <t>310 Packetts Landing</t>
  </si>
  <si>
    <t>Org CBO</t>
  </si>
  <si>
    <t>Naureen Jaffri DO</t>
  </si>
  <si>
    <t>Ellen Strassburg</t>
  </si>
  <si>
    <t>Ellen@JaffriMedical.com</t>
  </si>
  <si>
    <t>Naveed Shahid MD</t>
  </si>
  <si>
    <t>E0299336</t>
  </si>
  <si>
    <t>SHAHID NAVEED</t>
  </si>
  <si>
    <t>Jennifer Czechowski</t>
  </si>
  <si>
    <t>(716) 828-2434</t>
  </si>
  <si>
    <t>Czechowski.Jennifer@cogenthmg.com</t>
  </si>
  <si>
    <t>SHAHID NAVEED DR.</t>
  </si>
  <si>
    <t>New Directions Youth &amp; Family Services, Inc.</t>
  </si>
  <si>
    <t>James Coder</t>
  </si>
  <si>
    <t>(716) 359-5830</t>
  </si>
  <si>
    <t>jcoder@ndyfs.org</t>
  </si>
  <si>
    <t>Niagara Co. Department of Health</t>
  </si>
  <si>
    <t>Daniel Stapleton</t>
  </si>
  <si>
    <t>(716) 439-7435</t>
  </si>
  <si>
    <t>dan.stapleton@niagaracounty.com</t>
  </si>
  <si>
    <t>Org Other</t>
  </si>
  <si>
    <t>E0217688</t>
  </si>
  <si>
    <t>NIAGARA CTY ADDICTIONS TRTMT</t>
  </si>
  <si>
    <t>Michael A. White</t>
  </si>
  <si>
    <t>michael.white@niagaracounty.com</t>
  </si>
  <si>
    <t>NIAGARA COUNTY DEPARTMENT OF MENTAL HEALTH</t>
  </si>
  <si>
    <t>NIAGARA CO DEPT MENTAL HLTH SVCS</t>
  </si>
  <si>
    <t>DOH/DSAS</t>
  </si>
  <si>
    <t>Mary Ellen Fadel NP</t>
  </si>
  <si>
    <t>E0112190</t>
  </si>
  <si>
    <t>FADEL MARY ELLEN</t>
  </si>
  <si>
    <t>BEECHWOOD NH</t>
  </si>
  <si>
    <t>Katie Bell</t>
  </si>
  <si>
    <t>E0294169</t>
  </si>
  <si>
    <t>BELL KATIE M RPA</t>
  </si>
  <si>
    <t>Patricia D'Angelo</t>
  </si>
  <si>
    <t>(716) 661-9730</t>
  </si>
  <si>
    <t>southernpediatrics@windstream.net</t>
  </si>
  <si>
    <t>BELL KATIE</t>
  </si>
  <si>
    <t>1684 FOOTE AVENUE EXT</t>
  </si>
  <si>
    <t>Allison Johnson</t>
  </si>
  <si>
    <t>E0364138</t>
  </si>
  <si>
    <t>JOHNSON ALLISON LEIGH</t>
  </si>
  <si>
    <t>Scott Seiberg</t>
  </si>
  <si>
    <t>(716) 664-2589</t>
  </si>
  <si>
    <t>peds@netsync.net</t>
  </si>
  <si>
    <t>JOHNSON ALLISON</t>
  </si>
  <si>
    <t>816 FAIRMOUNT AVE</t>
  </si>
  <si>
    <t>Allyn Norman DO</t>
  </si>
  <si>
    <t>Cindy Norman</t>
  </si>
  <si>
    <t>cindynorman@aol.com</t>
  </si>
  <si>
    <t>Alok D. Gupta MD</t>
  </si>
  <si>
    <t>Michael Corasanti</t>
  </si>
  <si>
    <t>mcorasanti@buffalomedicalgroup.com</t>
  </si>
  <si>
    <t>Jahangir Koleini MD</t>
  </si>
  <si>
    <t>E0198494</t>
  </si>
  <si>
    <t>KOLEINI JAHANGIR           MD</t>
  </si>
  <si>
    <t>Judy Comerford</t>
  </si>
  <si>
    <t>(716) 668-8226</t>
  </si>
  <si>
    <t>jcomerford@roadrunner.com</t>
  </si>
  <si>
    <t>KOLEINI JAHANGIR</t>
  </si>
  <si>
    <t>Bo   Xu MD</t>
  </si>
  <si>
    <t>E0320779</t>
  </si>
  <si>
    <t>XU BO</t>
  </si>
  <si>
    <t>Thomas Yannios MD</t>
  </si>
  <si>
    <t>E0214368</t>
  </si>
  <si>
    <t>YANNIOS THOMAS S           MD</t>
  </si>
  <si>
    <t>YANNIOS THOMAS</t>
  </si>
  <si>
    <t>Anthony Yarussi MD</t>
  </si>
  <si>
    <t>E0153823</t>
  </si>
  <si>
    <t>YARUSSI ANTHONY T MD</t>
  </si>
  <si>
    <t>YARUSSI ANTHONY</t>
  </si>
  <si>
    <t>ROSWELL PARK CANCER</t>
  </si>
  <si>
    <t>Sai Yendamuri MD</t>
  </si>
  <si>
    <t>E0010860</t>
  </si>
  <si>
    <t>YENDAMURI SAIKRISHNA MD</t>
  </si>
  <si>
    <t>YENDAMURI SAIKRISHNA</t>
  </si>
  <si>
    <t>Lourdes Ylagan MD</t>
  </si>
  <si>
    <t>E0309168</t>
  </si>
  <si>
    <t>YLAGAN LOURDES ROSAL</t>
  </si>
  <si>
    <t>YLAGAN LOURDES</t>
  </si>
  <si>
    <t>Jessica Suk-Wah Young MD</t>
  </si>
  <si>
    <t>E0326550</t>
  </si>
  <si>
    <t>YOUNG JESSICA SUK-WAH</t>
  </si>
  <si>
    <t>YOUNG JESSICA</t>
  </si>
  <si>
    <t>Jill Zafar MD</t>
  </si>
  <si>
    <t>E0004283</t>
  </si>
  <si>
    <t>ZAFAR JILL ELLYN</t>
  </si>
  <si>
    <t>ZAFAR JILL</t>
  </si>
  <si>
    <t>ZAFAR JILL ELLYN MD</t>
  </si>
  <si>
    <t>Victor Filadora MD, MBA</t>
  </si>
  <si>
    <t>E0059082</t>
  </si>
  <si>
    <t>FILADORA VICTOR ANTHONY II MD</t>
  </si>
  <si>
    <t>FILADORA VICTOR</t>
  </si>
  <si>
    <t>Nikhil Khushalani MD, MBBS</t>
  </si>
  <si>
    <t>E0016973</t>
  </si>
  <si>
    <t>KHUSHALANI NIKHIL I  MD</t>
  </si>
  <si>
    <t>KHUSHALANI NIKHIL</t>
  </si>
  <si>
    <t>Alex Adjei MD, PhD</t>
  </si>
  <si>
    <t>E0009034</t>
  </si>
  <si>
    <t>ADJEI ALEX ASIEDU MD</t>
  </si>
  <si>
    <t>ADJEI ALEX</t>
  </si>
  <si>
    <t>Bora Baysal MD, PhD</t>
  </si>
  <si>
    <t>E0321949</t>
  </si>
  <si>
    <t>BAYSAL BORA</t>
  </si>
  <si>
    <t>ELM AND CARLTON STRE</t>
  </si>
  <si>
    <t>Michael Kuettel MD, PhD</t>
  </si>
  <si>
    <t>Mark Lema MD, PhD</t>
  </si>
  <si>
    <t>E0181497</t>
  </si>
  <si>
    <t>LEMA MARK J  MD</t>
  </si>
  <si>
    <t>LEMA MARK</t>
  </si>
  <si>
    <t>Charles LeVea MD, PhD</t>
  </si>
  <si>
    <t>E0058945</t>
  </si>
  <si>
    <t>LEVEA CHARLES MICHAEL MD</t>
  </si>
  <si>
    <t>LEVEA CHARLES</t>
  </si>
  <si>
    <t>Hong Liu MD, PhD</t>
  </si>
  <si>
    <t>Martin Mahoney MD, PhD</t>
  </si>
  <si>
    <t>E0117267</t>
  </si>
  <si>
    <t>MAHONEY MARTIN CHRISTOPHER MD</t>
  </si>
  <si>
    <t>MAHONEY MARTIN</t>
  </si>
  <si>
    <t>Adekunle Odunsi MD, PhD</t>
  </si>
  <si>
    <t>Saraswati Pokharel MD, PhD</t>
  </si>
  <si>
    <t>E0352390</t>
  </si>
  <si>
    <t>POKHAREL SARASWATI</t>
  </si>
  <si>
    <t>Jingxin Qiu MD, PhD</t>
  </si>
  <si>
    <t>E0307706</t>
  </si>
  <si>
    <t>QIU JINGXIN</t>
  </si>
  <si>
    <t>Yujie Zhao MD, PhD</t>
  </si>
  <si>
    <t>E0325517</t>
  </si>
  <si>
    <t>ZHAO YUJIE</t>
  </si>
  <si>
    <t>Emese Zsiros MD, PhD</t>
  </si>
  <si>
    <t>E0384999</t>
  </si>
  <si>
    <t>ZSIROS EMESE</t>
  </si>
  <si>
    <t>Christopher Aikin NP</t>
  </si>
  <si>
    <t>E0343043</t>
  </si>
  <si>
    <t>AIKIN CHRISTOPHER MATHEW</t>
  </si>
  <si>
    <t>AIKIN CHRISTOPHER</t>
  </si>
  <si>
    <t>Kaitlyn Antkowiak NP</t>
  </si>
  <si>
    <t>E0394603</t>
  </si>
  <si>
    <t>ANTKOWIAK KAITLYN N</t>
  </si>
  <si>
    <t>MANCARI KAITLYN</t>
  </si>
  <si>
    <t>MACARI KAITLYN N</t>
  </si>
  <si>
    <t>Michelle Rainville MD</t>
  </si>
  <si>
    <t>E0043335</t>
  </si>
  <si>
    <t>RAINVILLE MICHELLE E MD</t>
  </si>
  <si>
    <t>RAINVILLE MICHELLE</t>
  </si>
  <si>
    <t>Valerie Francescutti MD</t>
  </si>
  <si>
    <t>E0313506</t>
  </si>
  <si>
    <t>FRANCESCUTTI VALERIE</t>
  </si>
  <si>
    <t>ELM AND CARLTON STS</t>
  </si>
  <si>
    <t>Peter Frederick MD</t>
  </si>
  <si>
    <t>Saby George MD</t>
  </si>
  <si>
    <t>Bonnie Gleason MD</t>
  </si>
  <si>
    <t>E0329364</t>
  </si>
  <si>
    <t>GLEASON BONNIE</t>
  </si>
  <si>
    <t>GLEASON BONNIE THERESA MD</t>
  </si>
  <si>
    <t>Jorge Gomez MD</t>
  </si>
  <si>
    <t>Nicole Gothgen MD</t>
  </si>
  <si>
    <t>Elizabeth Griffiths MD</t>
  </si>
  <si>
    <t>Zachary Grossman* MD</t>
  </si>
  <si>
    <t>E0228297</t>
  </si>
  <si>
    <t>GROSSMAN ZACHARY D         MD</t>
  </si>
  <si>
    <t>GROSSMAN ZACHARY</t>
  </si>
  <si>
    <t>Vishal Gupta MD</t>
  </si>
  <si>
    <t>E0378444</t>
  </si>
  <si>
    <t>Lalit Gurtoo MD</t>
  </si>
  <si>
    <t>E0103024</t>
  </si>
  <si>
    <t>GURTOO LALIT MD</t>
  </si>
  <si>
    <t>GURTOO LALIT</t>
  </si>
  <si>
    <t>Khurshid Guru MD</t>
  </si>
  <si>
    <t>E0031539</t>
  </si>
  <si>
    <t>GURU KHURSHID A MD</t>
  </si>
  <si>
    <t>GURU KHURSHID</t>
  </si>
  <si>
    <t>Fadi Habib MD</t>
  </si>
  <si>
    <t>E0335584</t>
  </si>
  <si>
    <t>HABIB FADI</t>
  </si>
  <si>
    <t>Gregory Hare MD</t>
  </si>
  <si>
    <t>E0044624</t>
  </si>
  <si>
    <t>HARE GREGORY BERTON</t>
  </si>
  <si>
    <t>HARE GREGORY</t>
  </si>
  <si>
    <t>Kassem Harris MD</t>
  </si>
  <si>
    <t>E0347373</t>
  </si>
  <si>
    <t>HARRIS KASSEM NEMER</t>
  </si>
  <si>
    <t>HARRIS KASSEM</t>
  </si>
  <si>
    <t>Craig Hendler MD</t>
  </si>
  <si>
    <t>E0316203</t>
  </si>
  <si>
    <t>HENDLER CRAIG MATTHEW</t>
  </si>
  <si>
    <t>HENDLER CRAIG</t>
  </si>
  <si>
    <t>Mark Hennon MD</t>
  </si>
  <si>
    <t>Steven Herman MD</t>
  </si>
  <si>
    <t>E0156353</t>
  </si>
  <si>
    <t>HERMAN STEVEN MD</t>
  </si>
  <si>
    <t>Francisco Hernandez-Ilizaliturri MD</t>
  </si>
  <si>
    <t>James Hitt MD</t>
  </si>
  <si>
    <t>E0327881</t>
  </si>
  <si>
    <t>HITT JAMES</t>
  </si>
  <si>
    <t>HITT JAMES MICHAEL</t>
  </si>
  <si>
    <t>Steven Hochwald MD</t>
  </si>
  <si>
    <t>E0332703</t>
  </si>
  <si>
    <t>HOCHWALD STEVEN N</t>
  </si>
  <si>
    <t>HOCHWALD STEVEN</t>
  </si>
  <si>
    <t>2000 SW ARCHER RD</t>
  </si>
  <si>
    <t>David Hohn MD</t>
  </si>
  <si>
    <t>E0121736</t>
  </si>
  <si>
    <t>HOHN DAVID C</t>
  </si>
  <si>
    <t>HOHN DAVID DR.</t>
  </si>
  <si>
    <t>RPCL CL PRAC PLAN</t>
  </si>
  <si>
    <t>Sarah Holstein MD</t>
  </si>
  <si>
    <t>E0363113</t>
  </si>
  <si>
    <t>HOLSTEIN SARAH ABIGAIL</t>
  </si>
  <si>
    <t>HOLSTEIN SARAH</t>
  </si>
  <si>
    <t>Joyce Huang MD</t>
  </si>
  <si>
    <t>E0391583</t>
  </si>
  <si>
    <t>HUANG, JOYCE JIAYING</t>
  </si>
  <si>
    <t>HUANG JOYCE</t>
  </si>
  <si>
    <t>HUANG JOYCE JIAYING</t>
  </si>
  <si>
    <t>Miriam Huang MD</t>
  </si>
  <si>
    <t>Dan Iancu MD</t>
  </si>
  <si>
    <t>E0024969</t>
  </si>
  <si>
    <t>IANCU DAN MHAI MD</t>
  </si>
  <si>
    <t>IANCU DAN</t>
  </si>
  <si>
    <t>Cyrus Irani MD</t>
  </si>
  <si>
    <t>E0068202</t>
  </si>
  <si>
    <t>IRANI CYRUS MD</t>
  </si>
  <si>
    <t>IRANI CYRUS</t>
  </si>
  <si>
    <t>Renuka Iyer MD</t>
  </si>
  <si>
    <t>E0043716</t>
  </si>
  <si>
    <t>IYER RENUKA VIJAY MD</t>
  </si>
  <si>
    <t>IYER RENUKA</t>
  </si>
  <si>
    <t>Julie Kwoka  NP</t>
  </si>
  <si>
    <t>E0034429</t>
  </si>
  <si>
    <t>KWOKA JULIE A</t>
  </si>
  <si>
    <t>KWOKA JULIE</t>
  </si>
  <si>
    <t>Karen Larkin NP</t>
  </si>
  <si>
    <t>E0093930</t>
  </si>
  <si>
    <t>LARKIN KAREN P</t>
  </si>
  <si>
    <t>LARKIN KAREN</t>
  </si>
  <si>
    <t>Cheryl Lyon NP</t>
  </si>
  <si>
    <t>Lori McDougald NP</t>
  </si>
  <si>
    <t>E0067743</t>
  </si>
  <si>
    <t>MCDOUGALD LORI JEAN NP</t>
  </si>
  <si>
    <t>MCDOUGALD LORI</t>
  </si>
  <si>
    <t>MCDOUGALD LORI JEAN</t>
  </si>
  <si>
    <t>Marion McGovern NP</t>
  </si>
  <si>
    <t>E0004111</t>
  </si>
  <si>
    <t>MCGOVERN MARION CAROL</t>
  </si>
  <si>
    <t>MCGOVERN MARION</t>
  </si>
  <si>
    <t>Loretta Miner NP</t>
  </si>
  <si>
    <t>E0129490</t>
  </si>
  <si>
    <t>MINER LORETTA BUTTERFIELD</t>
  </si>
  <si>
    <t>MINER LORETTA</t>
  </si>
  <si>
    <t>Kathleen Mogensen NP</t>
  </si>
  <si>
    <t>E0142796</t>
  </si>
  <si>
    <t>MOGENSEN KATHLEEN A</t>
  </si>
  <si>
    <t>MOGENSEN KATHLEEN</t>
  </si>
  <si>
    <t>MOGENSEN KATHLEEN M</t>
  </si>
  <si>
    <t>ELM CARLTON STREETS</t>
  </si>
  <si>
    <t>Alice Mohr NP</t>
  </si>
  <si>
    <t>E0120963</t>
  </si>
  <si>
    <t>MOHR ALICE MARIE</t>
  </si>
  <si>
    <t>MOHR ALICE</t>
  </si>
  <si>
    <t>Julie Mussell (Ross) NP</t>
  </si>
  <si>
    <t>E0016476</t>
  </si>
  <si>
    <t>ROSS JULIE ANN NP</t>
  </si>
  <si>
    <t>MUSSELL JULIE</t>
  </si>
  <si>
    <t>MUSSELL JULIE ANN</t>
  </si>
  <si>
    <t>Raymond Neiswonger NP</t>
  </si>
  <si>
    <t>E0033794</t>
  </si>
  <si>
    <t>NEISWONGER RAYMOND ARTHUR</t>
  </si>
  <si>
    <t>NEISWONGER RAYMOND</t>
  </si>
  <si>
    <t>Jill Nestico  NP</t>
  </si>
  <si>
    <t>E0130832</t>
  </si>
  <si>
    <t>WITTLIFF JILL SUZANNE</t>
  </si>
  <si>
    <t>NESTICO JILL</t>
  </si>
  <si>
    <t>NESTICO JILL SUZANNE</t>
  </si>
  <si>
    <t>Jessica Nixon NP</t>
  </si>
  <si>
    <t>E0342773</t>
  </si>
  <si>
    <t>NIXON JESSICA MEGAN</t>
  </si>
  <si>
    <t>NIXON JESSICA</t>
  </si>
  <si>
    <t>Molli Oldenburg NP</t>
  </si>
  <si>
    <t>E0039825</t>
  </si>
  <si>
    <t>OLDENBURG MOLLI M</t>
  </si>
  <si>
    <t>WARUNEK MOLLI</t>
  </si>
  <si>
    <t>OLDENBURG MOLLI MEGAN</t>
  </si>
  <si>
    <t>Leanne Ortolano NP</t>
  </si>
  <si>
    <t>E0339156</t>
  </si>
  <si>
    <t>ORTOLANO LEANNE ELISE</t>
  </si>
  <si>
    <t>ORTOLANO LEANNE</t>
  </si>
  <si>
    <t>Teresa Palmieri NP</t>
  </si>
  <si>
    <t>E0059379</t>
  </si>
  <si>
    <t>PALMIERI TERESA MARIE</t>
  </si>
  <si>
    <t>PALMIERI TERESA</t>
  </si>
  <si>
    <t>Pamela Paplham NP</t>
  </si>
  <si>
    <t>E0151834</t>
  </si>
  <si>
    <t>PAPLHAM PAMELA D</t>
  </si>
  <si>
    <t>PAPLHAM PAMELA</t>
  </si>
  <si>
    <t>PAPLHAM PAMELA DIANE</t>
  </si>
  <si>
    <t>Christina Parkot NP</t>
  </si>
  <si>
    <t>Karen Pfentner NP</t>
  </si>
  <si>
    <t>E0037016</t>
  </si>
  <si>
    <t>PFENTNER KAREN L</t>
  </si>
  <si>
    <t>PFENTNER KAREN</t>
  </si>
  <si>
    <t>PFENTNER KAREN LESLIE</t>
  </si>
  <si>
    <t>Janice Proy NP</t>
  </si>
  <si>
    <t>E0289935</t>
  </si>
  <si>
    <t>PROY JANICE MAUREEN</t>
  </si>
  <si>
    <t>PROY JANICE</t>
  </si>
  <si>
    <t>Eileen Purcell NP</t>
  </si>
  <si>
    <t>Jospeh Rasnick NP</t>
  </si>
  <si>
    <t>E0009981</t>
  </si>
  <si>
    <t>RASNICK JOSEPH MICHAEL NP</t>
  </si>
  <si>
    <t>RASNICK JOSEPH</t>
  </si>
  <si>
    <t>John Redmond NP</t>
  </si>
  <si>
    <t>E0379140</t>
  </si>
  <si>
    <t>REDMOND JOHN F</t>
  </si>
  <si>
    <t>REDMOND JOHN</t>
  </si>
  <si>
    <t>REDMOND JOHN FRANCIS</t>
  </si>
  <si>
    <t>100 COLLEGE PKWY STE 290</t>
  </si>
  <si>
    <t>Ruth Rohl (Handyside) NP</t>
  </si>
  <si>
    <t>E0310312</t>
  </si>
  <si>
    <t>HANDYSIDE RUTH MARIE</t>
  </si>
  <si>
    <t>ROHL RUTH</t>
  </si>
  <si>
    <t>ROHL RUTH MARIE</t>
  </si>
  <si>
    <t>Karen Romano NP</t>
  </si>
  <si>
    <t>E0086506</t>
  </si>
  <si>
    <t>ROMANO KAREN SUZANNE</t>
  </si>
  <si>
    <t>ROMANO KAREN</t>
  </si>
  <si>
    <t>Cherie Rondeau NP</t>
  </si>
  <si>
    <t>E0057077</t>
  </si>
  <si>
    <t>RONDEAU CHERIE R</t>
  </si>
  <si>
    <t>RONDEAU CHERIE</t>
  </si>
  <si>
    <t>RONDEAU CHERIE RENEE</t>
  </si>
  <si>
    <t>Michelle Sabia NP</t>
  </si>
  <si>
    <t>E0288760</t>
  </si>
  <si>
    <t>SABIA MICHELLE LYNN</t>
  </si>
  <si>
    <t>SABIA MICHELLE</t>
  </si>
  <si>
    <t>Cathleen Seebald NP</t>
  </si>
  <si>
    <t>Marcus Sikorski NP</t>
  </si>
  <si>
    <t>E0092716</t>
  </si>
  <si>
    <t>SIKORSKI MARCUS</t>
  </si>
  <si>
    <t>Laura Snopkowski NP</t>
  </si>
  <si>
    <t>E0064712</t>
  </si>
  <si>
    <t>RUSINEK LAURA JEAN</t>
  </si>
  <si>
    <t>SNOPKOWSKI LAURA</t>
  </si>
  <si>
    <t>SNOPKOWSKI LAURA JEAN</t>
  </si>
  <si>
    <t>Margaret Spadinger NP</t>
  </si>
  <si>
    <t>E0039080</t>
  </si>
  <si>
    <t>SPADINGER MARGARET MARY</t>
  </si>
  <si>
    <t>SPADINGER MARGARET</t>
  </si>
  <si>
    <t>John Kane MD</t>
  </si>
  <si>
    <t>Kazunori Kanehira MD</t>
  </si>
  <si>
    <t>E0313741</t>
  </si>
  <si>
    <t>KAZUNORI KANEHIRA</t>
  </si>
  <si>
    <t>KANEHIRA KAZUNORI</t>
  </si>
  <si>
    <t>Ola Kanj Ahmed MD</t>
  </si>
  <si>
    <t>E0325224</t>
  </si>
  <si>
    <t>KANJ AHMED OLA SALEH</t>
  </si>
  <si>
    <t>KANJ AHMED OLA</t>
  </si>
  <si>
    <t>John Kasznica MD</t>
  </si>
  <si>
    <t>E0297411</t>
  </si>
  <si>
    <t>KASZNICA JOHN M</t>
  </si>
  <si>
    <t>KASZNICA JOHN</t>
  </si>
  <si>
    <t>Eric Kauffman MD</t>
  </si>
  <si>
    <t>E0340585</t>
  </si>
  <si>
    <t>KAUFFMAN ERIC CURTIS</t>
  </si>
  <si>
    <t>KAUFFMAN ERIC</t>
  </si>
  <si>
    <t>Robert Kaye MD</t>
  </si>
  <si>
    <t>Bilal Khalid MD</t>
  </si>
  <si>
    <t>E0322293</t>
  </si>
  <si>
    <t>KHALID BALIL MD</t>
  </si>
  <si>
    <t>KHALID BILAL</t>
  </si>
  <si>
    <t>KHALID BILAL MD</t>
  </si>
  <si>
    <t>Salma Khalil MD</t>
  </si>
  <si>
    <t>Prac Other EN PCP</t>
  </si>
  <si>
    <t>Thaer Khoury MD</t>
  </si>
  <si>
    <t>E0019257</t>
  </si>
  <si>
    <t>KHOURY THAER MD</t>
  </si>
  <si>
    <t>KHOURY THAER</t>
  </si>
  <si>
    <t>Peter Klieger MD</t>
  </si>
  <si>
    <t>E0207833</t>
  </si>
  <si>
    <t>KLIEGER PETER S            MD</t>
  </si>
  <si>
    <t>KLIEGER PETER</t>
  </si>
  <si>
    <t>COLUMBIA PRES RAD</t>
  </si>
  <si>
    <t>Alan Klitzke MD</t>
  </si>
  <si>
    <t>E0015926</t>
  </si>
  <si>
    <t>KLITZKE ALAN KENNETH MD</t>
  </si>
  <si>
    <t>KLITZKE ALAN</t>
  </si>
  <si>
    <t>Moshim Kukar  MD</t>
  </si>
  <si>
    <t>E0335763</t>
  </si>
  <si>
    <t>KUKAR MOSHIM</t>
  </si>
  <si>
    <t>Shicha Kumar MD</t>
  </si>
  <si>
    <t>E0311460</t>
  </si>
  <si>
    <t>SHICHA KUMAR</t>
  </si>
  <si>
    <t>KUMAR SHICHA</t>
  </si>
  <si>
    <t>Prasanna Kumar MD</t>
  </si>
  <si>
    <t>E0026323</t>
  </si>
  <si>
    <t>KUMAR PRASANNA RG MD</t>
  </si>
  <si>
    <t>Abraham Kuriakose MD</t>
  </si>
  <si>
    <t>E0055881</t>
  </si>
  <si>
    <t>KURIAKOSE MONI</t>
  </si>
  <si>
    <t>KURIAKOSE MONI ABRAHAM</t>
  </si>
  <si>
    <t>Boris Kuvshinoff MD</t>
  </si>
  <si>
    <t>Dominick Lamonica MD</t>
  </si>
  <si>
    <t>E0140429</t>
  </si>
  <si>
    <t>LAMONICA DOMINICK</t>
  </si>
  <si>
    <t>Kelvin Lee MD</t>
  </si>
  <si>
    <t>E0013279</t>
  </si>
  <si>
    <t>LEE KELVIN PAUL MD</t>
  </si>
  <si>
    <t>LEE KELVIN</t>
  </si>
  <si>
    <t>Shashikant Lele MD</t>
  </si>
  <si>
    <t>Bethany Lema MD</t>
  </si>
  <si>
    <t>E0359204</t>
  </si>
  <si>
    <t>LEMA BETHANY</t>
  </si>
  <si>
    <t>LEMA BETHANY DR.</t>
  </si>
  <si>
    <t>52 S UNION RD STE 203</t>
  </si>
  <si>
    <t>Ellis Levine MD</t>
  </si>
  <si>
    <t>E0181500</t>
  </si>
  <si>
    <t>LEVINE ELLIS G  MD</t>
  </si>
  <si>
    <t>LEVINE ELLIS</t>
  </si>
  <si>
    <t>Li Li MD</t>
  </si>
  <si>
    <t>E0061532</t>
  </si>
  <si>
    <t>LI LI MD</t>
  </si>
  <si>
    <t>LI LI</t>
  </si>
  <si>
    <t>RPCI CLINICAL</t>
  </si>
  <si>
    <t>Alan Litwin MD</t>
  </si>
  <si>
    <t>E0094945</t>
  </si>
  <si>
    <t>LITWIN ALAN MD</t>
  </si>
  <si>
    <t>LITWIN ALAN</t>
  </si>
  <si>
    <t>CLINICAL PRACTICE PL</t>
  </si>
  <si>
    <t>Robert Lohman MD</t>
  </si>
  <si>
    <t>E0042644</t>
  </si>
  <si>
    <t>LOHMAN ROBERT F MD</t>
  </si>
  <si>
    <t>LOHMAN ROBERT</t>
  </si>
  <si>
    <t>LOHMAN ROBERT FRANK</t>
  </si>
  <si>
    <t>Vincent J. McGravey MD</t>
  </si>
  <si>
    <t>E0216996</t>
  </si>
  <si>
    <t>MC GRAVEY VINCENT JOSEPH   MD</t>
  </si>
  <si>
    <t>emcgravey0862@verizon.net</t>
  </si>
  <si>
    <t>MCGRAVEY VINCENT DR.</t>
  </si>
  <si>
    <t>Virginia Campion</t>
  </si>
  <si>
    <t>E0132893</t>
  </si>
  <si>
    <t>CAMPION VIRGINIA BIANKA MD</t>
  </si>
  <si>
    <t>CAMPION VIRGINIA</t>
  </si>
  <si>
    <t>JAMESTOWN PED ASC</t>
  </si>
  <si>
    <t>Vito D. Palumbo DO</t>
  </si>
  <si>
    <t>E0115725</t>
  </si>
  <si>
    <t>PALUMBO VITO</t>
  </si>
  <si>
    <t>Michelle McKinney</t>
  </si>
  <si>
    <t>(716) 565-1234</t>
  </si>
  <si>
    <t>fcp@roadrunner.com</t>
  </si>
  <si>
    <t>PALUMBO VITO DR.</t>
  </si>
  <si>
    <t>Vivian Lindfield MD</t>
  </si>
  <si>
    <t>Lisa Kropp</t>
  </si>
  <si>
    <t>lisa@practfirst.com</t>
  </si>
  <si>
    <t>Vyjanthanath Gunasingham MD</t>
  </si>
  <si>
    <t>E0285025</t>
  </si>
  <si>
    <t>GUNASINGHAM VYANTHANAT</t>
  </si>
  <si>
    <t>(716) 748-6002</t>
  </si>
  <si>
    <t>vyjrohan@gmail.com</t>
  </si>
  <si>
    <t>GUNASINGHAM VYJANTHANATH DR.</t>
  </si>
  <si>
    <t>GUNASINGHAM VYJANTHANATH ROHAN</t>
  </si>
  <si>
    <t>725 ORCHARD PARK RD STE D</t>
  </si>
  <si>
    <t>Andrew Storer NP</t>
  </si>
  <si>
    <t>E0390785</t>
  </si>
  <si>
    <t>STORER ANDREW</t>
  </si>
  <si>
    <t>STORER ANDREW CHARLES</t>
  </si>
  <si>
    <t>Margaret Syta NP</t>
  </si>
  <si>
    <t>Alicia Tammaro NP</t>
  </si>
  <si>
    <t>E0350839</t>
  </si>
  <si>
    <t>TAMMARO ALICIA JOY</t>
  </si>
  <si>
    <t>TAMMARO ALICIA</t>
  </si>
  <si>
    <t>Linda Tiffany NP</t>
  </si>
  <si>
    <t>E0107402</t>
  </si>
  <si>
    <t>TIFFANY LINDA LEIGH</t>
  </si>
  <si>
    <t>TIFFANY LINDA</t>
  </si>
  <si>
    <t>Sheila Tighe NP</t>
  </si>
  <si>
    <t>E0296799</t>
  </si>
  <si>
    <t>TIGHE SHEILA MARIE</t>
  </si>
  <si>
    <t>TIGHE SHEILA</t>
  </si>
  <si>
    <t>Maureen Vaughan NP</t>
  </si>
  <si>
    <t>E0390773</t>
  </si>
  <si>
    <t>VAUGHAN MAUREEN E</t>
  </si>
  <si>
    <t>VAUGHAN MAUREEN</t>
  </si>
  <si>
    <t>Karen Vona NP</t>
  </si>
  <si>
    <t>E0287738</t>
  </si>
  <si>
    <t>VONA KAREN LYNNE</t>
  </si>
  <si>
    <t>VONA KAREN</t>
  </si>
  <si>
    <t>Shirley Vong NP</t>
  </si>
  <si>
    <t>E0363421</t>
  </si>
  <si>
    <t>VONG SHIRLEY</t>
  </si>
  <si>
    <t>SCHIERER SHIRLEY</t>
  </si>
  <si>
    <t>Evelyn Wise NP</t>
  </si>
  <si>
    <t>E0090134</t>
  </si>
  <si>
    <t>WISE EVELYN P NP</t>
  </si>
  <si>
    <t>WISE EVELYN</t>
  </si>
  <si>
    <t>WISE EVELYN P</t>
  </si>
  <si>
    <t xml:space="preserve">Tanya Bellavia PA </t>
  </si>
  <si>
    <t>E0086185</t>
  </si>
  <si>
    <t>BELLAVIA TANYA RPA</t>
  </si>
  <si>
    <t>BELLAVIA TANYA</t>
  </si>
  <si>
    <t>BELLAVIA TANYA L</t>
  </si>
  <si>
    <t xml:space="preserve">Maureen Brady  PA </t>
  </si>
  <si>
    <t>E0388370</t>
  </si>
  <si>
    <t>BRADY MAUREEN ROSE</t>
  </si>
  <si>
    <t>BRADY MAUREEN</t>
  </si>
  <si>
    <t xml:space="preserve">Eric Breitwieser PA </t>
  </si>
  <si>
    <t>E0291175</t>
  </si>
  <si>
    <t>BREITWIESER ERIC JOHN</t>
  </si>
  <si>
    <t>BREITWIESER ERIC</t>
  </si>
  <si>
    <t xml:space="preserve">Ghinita Burbulea PA </t>
  </si>
  <si>
    <t>E0313828</t>
  </si>
  <si>
    <t>BURBULEA GHINITA</t>
  </si>
  <si>
    <t xml:space="preserve">Michele Burgess PA </t>
  </si>
  <si>
    <t>E0314772</t>
  </si>
  <si>
    <t>BURGESS MICHELE LYNN</t>
  </si>
  <si>
    <t>BURGESS MICHELE</t>
  </si>
  <si>
    <t xml:space="preserve">Kimberly Celotto PA </t>
  </si>
  <si>
    <t>E0035014</t>
  </si>
  <si>
    <t>PASTWICK KIMBERLY L</t>
  </si>
  <si>
    <t>CELOTTO KIMBERLY</t>
  </si>
  <si>
    <t>CELOTTO KIMBERLY L RPA</t>
  </si>
  <si>
    <t xml:space="preserve">Amy Chappell PA </t>
  </si>
  <si>
    <t>E0295748</t>
  </si>
  <si>
    <t>KOTARSKI AMY F RPA</t>
  </si>
  <si>
    <t>CHAPPELL AMY</t>
  </si>
  <si>
    <t>CHAPPELL AMY F RPA</t>
  </si>
  <si>
    <t xml:space="preserve">Sarina Cieri PA </t>
  </si>
  <si>
    <t>E0399539</t>
  </si>
  <si>
    <t>CIERI SARINA MICHELLE</t>
  </si>
  <si>
    <t>CIERI SARINA</t>
  </si>
  <si>
    <t xml:space="preserve">Beverly Close PA </t>
  </si>
  <si>
    <t xml:space="preserve">Melissa Everett PA </t>
  </si>
  <si>
    <t>E0338257</t>
  </si>
  <si>
    <t>EVERETT MELISSA MICHELLE</t>
  </si>
  <si>
    <t>EVERETT MELISSA</t>
  </si>
  <si>
    <t xml:space="preserve">Leayn Flaherty PA </t>
  </si>
  <si>
    <t xml:space="preserve">Jamie Fraas PA </t>
  </si>
  <si>
    <t>E0060652</t>
  </si>
  <si>
    <t>FRAAS JAMIE M RPA</t>
  </si>
  <si>
    <t>FRAAS JAMIE</t>
  </si>
  <si>
    <t>FRAAS JAMIE MARIE</t>
  </si>
  <si>
    <t xml:space="preserve">Mary Gannon PA </t>
  </si>
  <si>
    <t>E0027236</t>
  </si>
  <si>
    <t>GANNON MARY F RPA</t>
  </si>
  <si>
    <t>GANNON MARY</t>
  </si>
  <si>
    <t xml:space="preserve">Matthew Graziano PA </t>
  </si>
  <si>
    <t>E0126527</t>
  </si>
  <si>
    <t>GRAZIANO MATTHEW J RPA</t>
  </si>
  <si>
    <t>GRAZIANO MATTHEW</t>
  </si>
  <si>
    <t xml:space="preserve">Dawn Green PA </t>
  </si>
  <si>
    <t xml:space="preserve">Timothy Hanna PA </t>
  </si>
  <si>
    <t>E0057164</t>
  </si>
  <si>
    <t>HANNA TIMOTHY E</t>
  </si>
  <si>
    <t>HANNA TIMOTHY</t>
  </si>
  <si>
    <t xml:space="preserve">Laurie Herbst PA </t>
  </si>
  <si>
    <t>E0128214</t>
  </si>
  <si>
    <t>HERBST LAURIE MARIE</t>
  </si>
  <si>
    <t>HERBST LAURIE</t>
  </si>
  <si>
    <t>WNY EAR NOSE THROAT</t>
  </si>
  <si>
    <t xml:space="preserve">Tiffany Jones  PA </t>
  </si>
  <si>
    <t>E0308352</t>
  </si>
  <si>
    <t>TIFFANY ANN JONES</t>
  </si>
  <si>
    <t>JONES TIFFANY</t>
  </si>
  <si>
    <t>JONES TIFFANY ANN</t>
  </si>
  <si>
    <t xml:space="preserve">Kelly Joyce PA </t>
  </si>
  <si>
    <t>E0037565</t>
  </si>
  <si>
    <t>JOYCE KELLY T RPA</t>
  </si>
  <si>
    <t>JOYCE KELLY</t>
  </si>
  <si>
    <t xml:space="preserve">Kimberly Klein PA </t>
  </si>
  <si>
    <t>E0082872</t>
  </si>
  <si>
    <t>KLEIN KIMBERLY A RPA</t>
  </si>
  <si>
    <t>KLEIN KIMBERLY</t>
  </si>
  <si>
    <t>KLEIN KIMBERLY ANN</t>
  </si>
  <si>
    <t xml:space="preserve">Timothy Knight PA </t>
  </si>
  <si>
    <t>Mary Kay Betz PA</t>
  </si>
  <si>
    <t>E0064866</t>
  </si>
  <si>
    <t>BETZ MARY K RPA</t>
  </si>
  <si>
    <t>BETZ MARY KAY</t>
  </si>
  <si>
    <t>Danielle Conley MD</t>
  </si>
  <si>
    <t>Paula Palermo</t>
  </si>
  <si>
    <t>paulapalermoallenpeds@yahoo.com</t>
  </si>
  <si>
    <t>Danielle Leach-Minazzi</t>
  </si>
  <si>
    <t>E0300420</t>
  </si>
  <si>
    <t>LEACH-MINAZZI DANIELLE MARGARET</t>
  </si>
  <si>
    <t>(716) 822-5944</t>
  </si>
  <si>
    <t>LEACH-MINAZZI DANIELLE</t>
  </si>
  <si>
    <t>Darla Lane DO</t>
  </si>
  <si>
    <t>E0049614</t>
  </si>
  <si>
    <t>LANE DARLA MELISSA</t>
  </si>
  <si>
    <t>Nancy Vastola</t>
  </si>
  <si>
    <t>NSVJD@aol.com</t>
  </si>
  <si>
    <t>LANE DARLA DR.</t>
  </si>
  <si>
    <t>LANE DARLA M</t>
  </si>
  <si>
    <t>Darlene Dzik MD</t>
  </si>
  <si>
    <t>Kim Wilkinson</t>
  </si>
  <si>
    <t>gtpediatrics@roadrunner.com</t>
  </si>
  <si>
    <t>Darren Caparaso MD</t>
  </si>
  <si>
    <t>E0111530</t>
  </si>
  <si>
    <t>CAPARASO DARREN M MD</t>
  </si>
  <si>
    <t>Anita Braun</t>
  </si>
  <si>
    <t>(716) 662-7008</t>
  </si>
  <si>
    <t>abraun@InspiredHealthGroupWNY.com</t>
  </si>
  <si>
    <t>CAPARASO DARREN DR.</t>
  </si>
  <si>
    <t>Darren Huffman MD</t>
  </si>
  <si>
    <t>E0348682</t>
  </si>
  <si>
    <t>HUFFMAN</t>
  </si>
  <si>
    <t>HUFFMAN DARREN DR.</t>
  </si>
  <si>
    <t>HUFFMAN DARREN MICHAEL</t>
  </si>
  <si>
    <t>Daryl Ehlenfield MD</t>
  </si>
  <si>
    <t>David A. Sherris MD</t>
  </si>
  <si>
    <t>dsherris@buffalo.edu</t>
  </si>
  <si>
    <t>David A. Silverstein MD</t>
  </si>
  <si>
    <t>Jenn Laskowski</t>
  </si>
  <si>
    <t>kfmjen@hotmail.com</t>
  </si>
  <si>
    <t>David Avino MD</t>
  </si>
  <si>
    <t>Lauren Sidhu</t>
  </si>
  <si>
    <t>(716) 667-2062</t>
  </si>
  <si>
    <t>LJKCNMT@aol.com</t>
  </si>
  <si>
    <t>David B. Lillie MD</t>
  </si>
  <si>
    <t>Nora Johnson</t>
  </si>
  <si>
    <t>fugittlillie@aol.com</t>
  </si>
  <si>
    <t>David C Dean MD</t>
  </si>
  <si>
    <t>Jean .</t>
  </si>
  <si>
    <t>(716) 839-3085</t>
  </si>
  <si>
    <t>dcdean@roadrunner.com</t>
  </si>
  <si>
    <t>David Carlson MD</t>
  </si>
  <si>
    <t>dcarlson@buffalomedicalgroup.com</t>
  </si>
  <si>
    <t>David Clifford MD</t>
  </si>
  <si>
    <t>E0140303</t>
  </si>
  <si>
    <t>CLIFFORD DAVID S MD</t>
  </si>
  <si>
    <t>Cheryl B. Clifford</t>
  </si>
  <si>
    <t>cherylbethclifford@yahoo.com</t>
  </si>
  <si>
    <t>CLIFFORD DAVID DR.</t>
  </si>
  <si>
    <t>David Cuthbert MD</t>
  </si>
  <si>
    <t>E0340063</t>
  </si>
  <si>
    <t>CUTHBERT DAVID</t>
  </si>
  <si>
    <t>Maria Colf</t>
  </si>
  <si>
    <t>mcolf@maximweb.com</t>
  </si>
  <si>
    <t>CUTHBERT DAVID MR.</t>
  </si>
  <si>
    <t>117 FOOTE AVE</t>
  </si>
  <si>
    <t>David F. Pfalzer MD</t>
  </si>
  <si>
    <t>E0191230</t>
  </si>
  <si>
    <t>PFALZER DAVID FRANK MD</t>
  </si>
  <si>
    <t>David F. Ratliff MD</t>
  </si>
  <si>
    <t>Joel Farwell</t>
  </si>
  <si>
    <t>jfarwell@northtownsorthopedics.com</t>
  </si>
  <si>
    <t>Robert Erickson DO</t>
  </si>
  <si>
    <t>E0121855</t>
  </si>
  <si>
    <t>ERICKSON ROBERT J DO</t>
  </si>
  <si>
    <t>ERICKSON ROBERT DR.</t>
  </si>
  <si>
    <t>ERICKSON ROBERT JOHN</t>
  </si>
  <si>
    <t>3671 SOUTHWESTERN BLVD STE 101</t>
  </si>
  <si>
    <t>Robert F. Glover MD</t>
  </si>
  <si>
    <t>glover@buffalo.edu</t>
  </si>
  <si>
    <t>Robert G. Fugitt MD</t>
  </si>
  <si>
    <t>Robert Gadawski MD</t>
  </si>
  <si>
    <t>Lori .</t>
  </si>
  <si>
    <t>(716) 298-4454</t>
  </si>
  <si>
    <t>summittpeds@roadrunner.com</t>
  </si>
  <si>
    <t>Robert Gianfagna MD</t>
  </si>
  <si>
    <t>Robert Hodge MD</t>
  </si>
  <si>
    <t>E0155029</t>
  </si>
  <si>
    <t>HODGE ROBERT WAYNE MD</t>
  </si>
  <si>
    <t>Susan Lougen</t>
  </si>
  <si>
    <t>(716) 434-6141</t>
  </si>
  <si>
    <t>sdlougen@verizon.net</t>
  </si>
  <si>
    <t>HODGE ROBERT DR.</t>
  </si>
  <si>
    <t>Robert J. Neufeld MD</t>
  </si>
  <si>
    <t>Robert J. Powalski, Jr. MD</t>
  </si>
  <si>
    <t>Barbara Stoiber</t>
  </si>
  <si>
    <t>stoiberbl64@roadrunner.com</t>
  </si>
  <si>
    <t>Robert R. Conti MD</t>
  </si>
  <si>
    <t>E0147592</t>
  </si>
  <si>
    <t>CONTI ROBERT ROSS MD</t>
  </si>
  <si>
    <t>(716) 649-9000</t>
  </si>
  <si>
    <t>rconti5695@yahoo.com</t>
  </si>
  <si>
    <t>CONTI ROBERT DR.</t>
  </si>
  <si>
    <t>UNIV MRI @ ECMC</t>
  </si>
  <si>
    <t>Robert Roche' DO</t>
  </si>
  <si>
    <t>E0052185</t>
  </si>
  <si>
    <t>ROCHE ROBERT R DO</t>
  </si>
  <si>
    <t>Paula Gorman</t>
  </si>
  <si>
    <t>gormanp@southgatemedgroup.com</t>
  </si>
  <si>
    <t>ROCHE ROBERT DR.</t>
  </si>
  <si>
    <t>Robert Schulman MD</t>
  </si>
  <si>
    <t>Joyce Heath</t>
  </si>
  <si>
    <t>(716) 706-2034</t>
  </si>
  <si>
    <t>jheath@chsbuffalo.org</t>
  </si>
  <si>
    <t>Robert Smolinski MD</t>
  </si>
  <si>
    <t>Linda Kunz</t>
  </si>
  <si>
    <t>lindakun@buffalo.edu</t>
  </si>
  <si>
    <t>Robert W. Williams MD</t>
  </si>
  <si>
    <t>E0114855</t>
  </si>
  <si>
    <t>WILLIAMS ROBERT W MD</t>
  </si>
  <si>
    <t>Elaine Sparks</t>
  </si>
  <si>
    <t>(716) 823-4962</t>
  </si>
  <si>
    <t>esparks@buffalomedicalgroup.com</t>
  </si>
  <si>
    <t>WILLIAMS ROBERT DR.</t>
  </si>
  <si>
    <t>Keith C. Stube MD</t>
  </si>
  <si>
    <t>Deb Pytlak</t>
  </si>
  <si>
    <t>kneectr@roadrunner.com</t>
  </si>
  <si>
    <t>Keith Kaplan MD</t>
  </si>
  <si>
    <t>E0326855</t>
  </si>
  <si>
    <t>KAPLAN KEITH</t>
  </si>
  <si>
    <t>Denise Sobczynski</t>
  </si>
  <si>
    <t>(716) 828-2399</t>
  </si>
  <si>
    <t>bds8355@chsbuffalo.org</t>
  </si>
  <si>
    <t>Kenmore Mercy Hospital</t>
  </si>
  <si>
    <t>E0263745</t>
  </si>
  <si>
    <t>KENMORE MERCY HOSPITAL</t>
  </si>
  <si>
    <t>Rachael Nees</t>
  </si>
  <si>
    <t>(716) 828-3812</t>
  </si>
  <si>
    <t>rnees@chsbuffalo.org</t>
  </si>
  <si>
    <t>Kenneth Eckhert III MD</t>
  </si>
  <si>
    <t>Joanna Kessel</t>
  </si>
  <si>
    <t>jkessel90@gmail.com</t>
  </si>
  <si>
    <t>Kenneth Halliwell MD</t>
  </si>
  <si>
    <t>Autumn Sander</t>
  </si>
  <si>
    <t>(716) 575-0075</t>
  </si>
  <si>
    <t>autumn.sander@gmail.com</t>
  </si>
  <si>
    <t>Kenneth J Guth MD</t>
  </si>
  <si>
    <t>Maria Liberta</t>
  </si>
  <si>
    <t>(716) 825-0300</t>
  </si>
  <si>
    <t>sim3320@hotmail.com</t>
  </si>
  <si>
    <t>Kenneth Murray MD</t>
  </si>
  <si>
    <t>Kathy Gross</t>
  </si>
  <si>
    <t>kgross@dentinstitute.com</t>
  </si>
  <si>
    <t>Kent K Chevli MD</t>
  </si>
  <si>
    <t>Rebecca Au</t>
  </si>
  <si>
    <t>Rau@maximweb.com</t>
  </si>
  <si>
    <t>Kent Lieber MD</t>
  </si>
  <si>
    <t>E0180642</t>
  </si>
  <si>
    <t>LIEBER KENT ALEX MD</t>
  </si>
  <si>
    <t>Jennifer Flanagan</t>
  </si>
  <si>
    <t>jalley@chsbuffalo.org</t>
  </si>
  <si>
    <t>LIEBER KENT DR.</t>
  </si>
  <si>
    <t>Kestler, Peggy FNP</t>
  </si>
  <si>
    <t>E0301179</t>
  </si>
  <si>
    <t>KESTLER PEGGY SUE</t>
  </si>
  <si>
    <t>Diane Franklin</t>
  </si>
  <si>
    <t>(716) 753-7107</t>
  </si>
  <si>
    <t>diane.franklin@fhmsmed.com</t>
  </si>
  <si>
    <t>KESTLER PEGGY MS.</t>
  </si>
  <si>
    <t>17 SHERMAN ST STE 2100</t>
  </si>
  <si>
    <t>Keun Yong Lee MD</t>
  </si>
  <si>
    <t>Keunlee@gmail.com</t>
  </si>
  <si>
    <t>Kevin Barlog MD</t>
  </si>
  <si>
    <t>Kevin G. Cleary MD</t>
  </si>
  <si>
    <t>Lauren Brugnoni</t>
  </si>
  <si>
    <t>brugnoni@buffalo.edu</t>
  </si>
  <si>
    <t>Kevin McMahon MD</t>
  </si>
  <si>
    <t>E0118370</t>
  </si>
  <si>
    <t>MCMAHON KEVIN C MD</t>
  </si>
  <si>
    <t>Michelle Grucela</t>
  </si>
  <si>
    <t>(716) 805-1072</t>
  </si>
  <si>
    <t>grucelam@eafamilypractice.com</t>
  </si>
  <si>
    <t>MCMAHON KEVIN</t>
  </si>
  <si>
    <t>MCMAHON KEVIN CHRISTOPHER</t>
  </si>
  <si>
    <t>Kevin O'Gorman MD</t>
  </si>
  <si>
    <t>E0229764</t>
  </si>
  <si>
    <t>OGORMAN KEVIN N            MD</t>
  </si>
  <si>
    <t>Susanne Waters</t>
  </si>
  <si>
    <t>(716) 992-4999</t>
  </si>
  <si>
    <t>kogmd1@roadrunner.com</t>
  </si>
  <si>
    <t>O'GORMAN KEVIN DR.</t>
  </si>
  <si>
    <t>8600 DEPOT ST</t>
  </si>
  <si>
    <t>Kevin Robillard MD</t>
  </si>
  <si>
    <t>Christopher Lucius</t>
  </si>
  <si>
    <t>(716) 677-6501</t>
  </si>
  <si>
    <t>chrisl@buffalogi.com</t>
  </si>
  <si>
    <t>Kevin Shiley MD</t>
  </si>
  <si>
    <t>E0310568</t>
  </si>
  <si>
    <t>SHILEY KEVIN THOMAS</t>
  </si>
  <si>
    <t>(716) 828-2578</t>
  </si>
  <si>
    <t>ktshiley@gmail.com</t>
  </si>
  <si>
    <t>SHILEY KEVIN DR.</t>
  </si>
  <si>
    <t>144 GENESEE ST FL 3</t>
  </si>
  <si>
    <t>Khalid S. Mahran MD</t>
  </si>
  <si>
    <t>(716) 833-1511</t>
  </si>
  <si>
    <t>kmahran@live.com</t>
  </si>
  <si>
    <t>Kimberly Prise MD</t>
  </si>
  <si>
    <t>E0100937</t>
  </si>
  <si>
    <t>PRISE KIMBERLY</t>
  </si>
  <si>
    <t>Patricia Whalen</t>
  </si>
  <si>
    <t>whalenp@forestreampeds.com</t>
  </si>
  <si>
    <t>Kirstin Gleason</t>
  </si>
  <si>
    <t>Kishor Phadke MD</t>
  </si>
  <si>
    <t>Komal Chandan MD</t>
  </si>
  <si>
    <t>Francine Mawhiney</t>
  </si>
  <si>
    <t>FTM31800@aol.com</t>
  </si>
  <si>
    <t>Kristen L. Smyers MD</t>
  </si>
  <si>
    <t>Kristen Robillard MD</t>
  </si>
  <si>
    <t>E0072796</t>
  </si>
  <si>
    <t>ROBILLARD KRISTEN SCHENK MD</t>
  </si>
  <si>
    <t>Judy Scheuneman</t>
  </si>
  <si>
    <t>(716) 646-1084</t>
  </si>
  <si>
    <t>officemanager@lakeshorepca.com</t>
  </si>
  <si>
    <t>Kristin Matteson DO</t>
  </si>
  <si>
    <t>AnnaMarie Rua</t>
  </si>
  <si>
    <t>annamarie.rua@gmail.com</t>
  </si>
  <si>
    <t>Kristine Sabatino</t>
  </si>
  <si>
    <t>E0025445</t>
  </si>
  <si>
    <t>SABATINO KRISTINE</t>
  </si>
  <si>
    <t>(716) 828-2600</t>
  </si>
  <si>
    <t>Kunwardeep Sohal MD</t>
  </si>
  <si>
    <t>Kyu H. Shin MD</t>
  </si>
  <si>
    <t>E0161146</t>
  </si>
  <si>
    <t>SHIN KYU H MD</t>
  </si>
  <si>
    <t>(716) 438-5486</t>
  </si>
  <si>
    <t>khshin59@gmail.com</t>
  </si>
  <si>
    <t>SHIN KYU</t>
  </si>
  <si>
    <t>WCA CANCER TRTMNT CT</t>
  </si>
  <si>
    <t>L Woerner, Inc. dba HCR</t>
  </si>
  <si>
    <t>Aaron M. Powell MD</t>
  </si>
  <si>
    <t>E0320118</t>
  </si>
  <si>
    <t>POWELL AARON MICHAEL</t>
  </si>
  <si>
    <t>aaron.m.powell3@gmail.com</t>
  </si>
  <si>
    <t>POWELL AARON</t>
  </si>
  <si>
    <t>Mid-Erie Counseling &amp; Treatment Services</t>
  </si>
  <si>
    <t>Elizabeth Mauro, Executive Director</t>
  </si>
  <si>
    <t>LizM@mid-erie.org</t>
  </si>
  <si>
    <t>Org BH MH SA</t>
  </si>
  <si>
    <t>Mikhail Choubmesser MD</t>
  </si>
  <si>
    <t>E0000717</t>
  </si>
  <si>
    <t>CHOUBMESSER MIKHAIL</t>
  </si>
  <si>
    <t>Sandra Boyd</t>
  </si>
  <si>
    <t>Sandra.boyd@msmh.org</t>
  </si>
  <si>
    <t>CHOUBMESSER MIKHAIL MD</t>
  </si>
  <si>
    <t>Minsoo Kang MD</t>
  </si>
  <si>
    <t>J Fritz</t>
  </si>
  <si>
    <t>jfritz@dentinstitute.com</t>
  </si>
  <si>
    <t>Ermelinda Bonaccio MD</t>
  </si>
  <si>
    <t>E0117045</t>
  </si>
  <si>
    <t>BONACCIO ERMELINDA</t>
  </si>
  <si>
    <t>170 SAWGRASS DR</t>
  </si>
  <si>
    <t>Martin Brecher* MD</t>
  </si>
  <si>
    <t>William Cance* MD</t>
  </si>
  <si>
    <t>E0289705</t>
  </si>
  <si>
    <t>CANCE WILLIAM GEORGE MD</t>
  </si>
  <si>
    <t>CANCE WILLIAM</t>
  </si>
  <si>
    <t>Helen Cappuccino MD</t>
  </si>
  <si>
    <t>E0156472</t>
  </si>
  <si>
    <t>CAPPUCCINO HELEN HESS MD</t>
  </si>
  <si>
    <t>CAPPUCCINO HELEN</t>
  </si>
  <si>
    <t>46 DAVISON CT</t>
  </si>
  <si>
    <t>George Chen MD</t>
  </si>
  <si>
    <t>E0310411</t>
  </si>
  <si>
    <t>CHEN GEORGE LIWEI</t>
  </si>
  <si>
    <t>CHEN GEORGE</t>
  </si>
  <si>
    <t>Hongbin Chen   MD</t>
  </si>
  <si>
    <t>Richard Cheney* MD</t>
  </si>
  <si>
    <t>E0139399</t>
  </si>
  <si>
    <t>CHENEY RICHARD T MD</t>
  </si>
  <si>
    <t>CHENEY RICHARD</t>
  </si>
  <si>
    <t>David Cohan MD</t>
  </si>
  <si>
    <t>E0321288</t>
  </si>
  <si>
    <t>COHAN DAVID M MD</t>
  </si>
  <si>
    <t>COHAN DAVID</t>
  </si>
  <si>
    <t>COHAN DAVID MICHAEL MD</t>
  </si>
  <si>
    <t>148 EAST AVE STE 3A</t>
  </si>
  <si>
    <t>Ian Lawrence Cohen MD</t>
  </si>
  <si>
    <t>E0194923</t>
  </si>
  <si>
    <t>COHEN IAN LAURENCE         MD</t>
  </si>
  <si>
    <t>COHEN IAN</t>
  </si>
  <si>
    <t>Thomas Croucher MD</t>
  </si>
  <si>
    <t>E0372949</t>
  </si>
  <si>
    <t>CROUCHER THOMAS WALTER</t>
  </si>
  <si>
    <t>CROUCHER THOMAS</t>
  </si>
  <si>
    <t>Myron Czuczman MD</t>
  </si>
  <si>
    <t>E0156373</t>
  </si>
  <si>
    <t>CZUCZMAN MYRON S MD</t>
  </si>
  <si>
    <t>CZUCZMAN MYRON</t>
  </si>
  <si>
    <t>George Deeb MD</t>
  </si>
  <si>
    <t>E0032627</t>
  </si>
  <si>
    <t>DEEB GEORGE MD</t>
  </si>
  <si>
    <t>DEEB GEORGE</t>
  </si>
  <si>
    <t>Oscar Deleon-Casasola MD</t>
  </si>
  <si>
    <t>E0156348</t>
  </si>
  <si>
    <t>DE LEON CASASOLA OSCAR A MD</t>
  </si>
  <si>
    <t>DELEON-CASASOLA OSCAR</t>
  </si>
  <si>
    <t>Todd Demmy MD</t>
  </si>
  <si>
    <t>Elisabeth Dexter MD</t>
  </si>
  <si>
    <t>Ananda Dharshan MD</t>
  </si>
  <si>
    <t>E0291917</t>
  </si>
  <si>
    <t>ANANDACOOMARASWAMY DHARSHAN</t>
  </si>
  <si>
    <t>DHARSHAN ANANDA</t>
  </si>
  <si>
    <t>Samjot Singh Dhillon MD</t>
  </si>
  <si>
    <t>E0283422</t>
  </si>
  <si>
    <t>DHILLON SAMJOT SINGH MD</t>
  </si>
  <si>
    <t>DHILLON SAMJOT</t>
  </si>
  <si>
    <t>Marinos Drakopoulos MD</t>
  </si>
  <si>
    <t>E0384300</t>
  </si>
  <si>
    <t>DRAKOPOULOS MARINOS</t>
  </si>
  <si>
    <t>Grace Dy MD</t>
  </si>
  <si>
    <t>Amy Early MD</t>
  </si>
  <si>
    <t>Karen Arnold NP</t>
  </si>
  <si>
    <t>E0002758</t>
  </si>
  <si>
    <t>ARNOLD KAREN</t>
  </si>
  <si>
    <t>ARNOLD KAREN N</t>
  </si>
  <si>
    <t>Molly Aungst NP</t>
  </si>
  <si>
    <t>E0352127</t>
  </si>
  <si>
    <t>AUNGST MOLLY B</t>
  </si>
  <si>
    <t>AUNGST MOLLY</t>
  </si>
  <si>
    <t>Justine Bertolo NP</t>
  </si>
  <si>
    <t>E0340355</t>
  </si>
  <si>
    <t>BERTOLO JUSTINE ELYSE</t>
  </si>
  <si>
    <t>BERTOLO JUSTINE</t>
  </si>
  <si>
    <t>Leonard Gurevich MD</t>
  </si>
  <si>
    <t>E0115704</t>
  </si>
  <si>
    <t>GUREVICH LEONARD MD</t>
  </si>
  <si>
    <t>Jillian Bromstead</t>
  </si>
  <si>
    <t>(716) 677-6500</t>
  </si>
  <si>
    <t>jrbromst@buffalo.edu</t>
  </si>
  <si>
    <t>GUREVICH LEONARD DR.</t>
  </si>
  <si>
    <t>300 STERLING DR</t>
  </si>
  <si>
    <t>Leonard Kaplan DO</t>
  </si>
  <si>
    <t>Fran Bevilacqua</t>
  </si>
  <si>
    <t>fbevilacqua@buffspine.com</t>
  </si>
  <si>
    <t>Leroy W. McCune MD</t>
  </si>
  <si>
    <t>E0209440</t>
  </si>
  <si>
    <t>MC CUNE LEROY WILSON       MD</t>
  </si>
  <si>
    <t>Christine Grygorcewicz</t>
  </si>
  <si>
    <t>(716) 725-1956</t>
  </si>
  <si>
    <t>grygorcewiczc@hcswny.com</t>
  </si>
  <si>
    <t>MCCUNE LEROY</t>
  </si>
  <si>
    <t>AUTUMN VIEW HLTH CRE</t>
  </si>
  <si>
    <t>Les A. Zakrzewski MD</t>
  </si>
  <si>
    <t>E0219032</t>
  </si>
  <si>
    <t>ZAKRZEWSKI LES A           MD</t>
  </si>
  <si>
    <t>Tania Urbanczyk</t>
  </si>
  <si>
    <t>(716) 677-4070</t>
  </si>
  <si>
    <t>zakmanmd@gmail.com</t>
  </si>
  <si>
    <t>ZAKRZEWSKI LES</t>
  </si>
  <si>
    <t>55 MELROY @ RIDGE RD</t>
  </si>
  <si>
    <t>Linda Burns DO</t>
  </si>
  <si>
    <t>E0302248</t>
  </si>
  <si>
    <t>BURNS LINDA</t>
  </si>
  <si>
    <t>Maureen Sigeti</t>
  </si>
  <si>
    <t>msigeti@buffalorheumatology.com</t>
  </si>
  <si>
    <t>BURNS LINDA DR.</t>
  </si>
  <si>
    <t>BURNS LINDA M.</t>
  </si>
  <si>
    <t>3055 SOUTHWESTERN BLVD STE 100</t>
  </si>
  <si>
    <t>Linda Cardone MD</t>
  </si>
  <si>
    <t>Donna LeViness</t>
  </si>
  <si>
    <t>delawareped1@aol.com</t>
  </si>
  <si>
    <t>Lindsey Clark MD</t>
  </si>
  <si>
    <t>Kathryn Bley</t>
  </si>
  <si>
    <t>(716) 648-1128</t>
  </si>
  <si>
    <t>kathria25@aol.com</t>
  </si>
  <si>
    <t>Lisa Daye MD</t>
  </si>
  <si>
    <t>E0091636</t>
  </si>
  <si>
    <t>DAYE LISA ANN MD</t>
  </si>
  <si>
    <t>Catherine Jette</t>
  </si>
  <si>
    <t>cjette@excelsiorortho.com</t>
  </si>
  <si>
    <t>DAYE LISA</t>
  </si>
  <si>
    <t>LAKESHORE ORTHOPEDIC</t>
  </si>
  <si>
    <t>Lisa Forehand MD</t>
  </si>
  <si>
    <t>E0053996</t>
  </si>
  <si>
    <t>FOREHAND LISA GULLBERG</t>
  </si>
  <si>
    <t>FOREHAND LISA</t>
  </si>
  <si>
    <t>Lisa Gelman-Koessler MD</t>
  </si>
  <si>
    <t>Patty Duncan</t>
  </si>
  <si>
    <t>pduncan@buffalo-obgyn.com</t>
  </si>
  <si>
    <t>Lisa Hoffman MD</t>
  </si>
  <si>
    <t>E0149468</t>
  </si>
  <si>
    <t>HOFFMAN LISA B MD</t>
  </si>
  <si>
    <t>HOFFMAN LISA</t>
  </si>
  <si>
    <t>Lisa Mendonza MD</t>
  </si>
  <si>
    <t>E0089097</t>
  </si>
  <si>
    <t>MENDONZA LISA MARIE MD</t>
  </si>
  <si>
    <t>MENDONZA LISA</t>
  </si>
  <si>
    <t>Lisette  A D'Eon MD</t>
  </si>
  <si>
    <t>E0165427</t>
  </si>
  <si>
    <t>DEON LISETTE ANNE</t>
  </si>
  <si>
    <t>Staci Biscaro</t>
  </si>
  <si>
    <t>(716) 592-8140</t>
  </si>
  <si>
    <t>sbiscaro@bch-jbr.org</t>
  </si>
  <si>
    <t>D'EON LISETTE DR.</t>
  </si>
  <si>
    <t>Liveleen Gill MD</t>
  </si>
  <si>
    <t>liveleengill@gmail.com</t>
  </si>
  <si>
    <t>Living Independent for Elders (LIFE)</t>
  </si>
  <si>
    <t>CATHOLIC HEALTH SYSTEM PROGRAM OF ALL-INCLUSIVE CARE FOR THE ELDERLY,</t>
  </si>
  <si>
    <t>55 MELROY AVE</t>
  </si>
  <si>
    <t>Living Opportunities of DePaul, Inc. - Community Residences/HH</t>
  </si>
  <si>
    <t>Lixin Zhang MD,PhD</t>
  </si>
  <si>
    <t>Lloyd W. Brown MD</t>
  </si>
  <si>
    <t>E0138286</t>
  </si>
  <si>
    <t>BROWN LLOYD W MD</t>
  </si>
  <si>
    <t>BROWN LLOYD</t>
  </si>
  <si>
    <t>Lori Bowman MD</t>
  </si>
  <si>
    <t>Chris Gura</t>
  </si>
  <si>
    <t>christinegura@verizon.net</t>
  </si>
  <si>
    <t>Lorianne E. Avino DO</t>
  </si>
  <si>
    <t>Lauren Krzeminski</t>
  </si>
  <si>
    <t>ljkcnmt@aol.com</t>
  </si>
  <si>
    <t>Lorie Lashbrook</t>
  </si>
  <si>
    <t>Loubert Suddaby MD</t>
  </si>
  <si>
    <t>Susan Whipple</t>
  </si>
  <si>
    <t>(716) 667-1980</t>
  </si>
  <si>
    <t>suewhipple@verizon.net</t>
  </si>
  <si>
    <t>Mohamad Shafi MD</t>
  </si>
  <si>
    <t>E0187924</t>
  </si>
  <si>
    <t>SHAFI MOHAMAD MD</t>
  </si>
  <si>
    <t>Ashley Niecpiel</t>
  </si>
  <si>
    <t>(716) 836-0016</t>
  </si>
  <si>
    <t>moshafidoc@gmail.com</t>
  </si>
  <si>
    <t>SHAFI MOHAMAD DR.</t>
  </si>
  <si>
    <t>SHAFI MOHAMAD</t>
  </si>
  <si>
    <t>Mohamed Ahmed MD,PhD</t>
  </si>
  <si>
    <t>E0004540</t>
  </si>
  <si>
    <t>Denise Hickey</t>
  </si>
  <si>
    <t>(716) 298-4869</t>
  </si>
  <si>
    <t>dhickey@hematology-oncologycare.com</t>
  </si>
  <si>
    <t>AHMED MOHAMED SAID MD</t>
  </si>
  <si>
    <t>6934 WILLIAMS RD STE 500</t>
  </si>
  <si>
    <t>Mohamed Zeid MD</t>
  </si>
  <si>
    <t>E0164496</t>
  </si>
  <si>
    <t>ZEID MOHAMED Y MD</t>
  </si>
  <si>
    <t>Mike McLaughlin</t>
  </si>
  <si>
    <t>(716) 250-9235</t>
  </si>
  <si>
    <t>mmclaughlin@x-celllab.com</t>
  </si>
  <si>
    <t>ZEID MOHAMED</t>
  </si>
  <si>
    <t>UNIV DERM  C319</t>
  </si>
  <si>
    <t>Mohammad Khan MD</t>
  </si>
  <si>
    <t>Maureen Killian</t>
  </si>
  <si>
    <t>niagarapulmonary@yahoo.com</t>
  </si>
  <si>
    <t>Mohammad Qasaymeh MD</t>
  </si>
  <si>
    <t>Joe Fritz</t>
  </si>
  <si>
    <t>Mohammad Reza Samie MD</t>
  </si>
  <si>
    <t>(716) 828-3400</t>
  </si>
  <si>
    <t>samie@buffalo.edu</t>
  </si>
  <si>
    <t>Mohammed Fayyaz MD</t>
  </si>
  <si>
    <t>Mohan Madhusudanan MD</t>
  </si>
  <si>
    <t>United Cerebral Palsy Association of Niagara</t>
  </si>
  <si>
    <t>E0029840</t>
  </si>
  <si>
    <t>UCPA NIAGARA CO INC DAY</t>
  </si>
  <si>
    <t>John Reardon</t>
  </si>
  <si>
    <t>(716) 629-7078</t>
  </si>
  <si>
    <t>9812 Lockport Rd.</t>
  </si>
  <si>
    <t>WNY Children's Psychiatric Center</t>
  </si>
  <si>
    <t>(716) 677-7077</t>
  </si>
  <si>
    <t>1010 East &amp; West Road</t>
  </si>
  <si>
    <t>Abdallah Rimawi MD</t>
  </si>
  <si>
    <t>E0015048</t>
  </si>
  <si>
    <t>RIMAWI ABDALLAH O MD</t>
  </si>
  <si>
    <t>RIMAWI ABDALLAH</t>
  </si>
  <si>
    <t>Abeer Eddib MD</t>
  </si>
  <si>
    <t>Absolut Care of Dunkirk</t>
  </si>
  <si>
    <t>Matthew J. Hriczko, LNHA</t>
  </si>
  <si>
    <t>(716) 366-6710</t>
  </si>
  <si>
    <t>Absolut Care of Eden</t>
  </si>
  <si>
    <t>Absolut Care of Orchard Brooke</t>
  </si>
  <si>
    <t>Jennifer May</t>
  </si>
  <si>
    <t>(716) 662-6753</t>
  </si>
  <si>
    <t>jmay@absolutcare.com</t>
  </si>
  <si>
    <t>6060 Armor Rd.</t>
  </si>
  <si>
    <t>Orchard Park</t>
  </si>
  <si>
    <t>Absolut Care of Orchard Park</t>
  </si>
  <si>
    <t>Daniel Detor</t>
  </si>
  <si>
    <t>(716) 662-4433</t>
  </si>
  <si>
    <t>ddetor@absolutcare.com</t>
  </si>
  <si>
    <t>Absolut Care of Salamanca</t>
  </si>
  <si>
    <t>kkennedy@absolutcare.com</t>
  </si>
  <si>
    <t>Absolut Center for Nursing &amp; Rehab at Allegany, LLC</t>
  </si>
  <si>
    <t>Karen Randolph, LNHA</t>
  </si>
  <si>
    <t>Absolut of Houghton</t>
  </si>
  <si>
    <t>Heather A. Morin/LNHA</t>
  </si>
  <si>
    <t>(585) 567-2770</t>
  </si>
  <si>
    <t>hmorin@absolutcare.com</t>
  </si>
  <si>
    <t>Absolute Care of Westfield</t>
  </si>
  <si>
    <t>Charlene Youknut, LNHA</t>
  </si>
  <si>
    <t>(716) 326-4646</t>
  </si>
  <si>
    <t>charleney@absolutcare.com</t>
  </si>
  <si>
    <t>Abul Islam MD</t>
  </si>
  <si>
    <t>(716) 859-2360</t>
  </si>
  <si>
    <t>aislam@buffalo.edu</t>
  </si>
  <si>
    <t>Adam Kotowski MD</t>
  </si>
  <si>
    <t>E0329376</t>
  </si>
  <si>
    <t>KOTOWSKI ADAM SCOTT</t>
  </si>
  <si>
    <t>Madhu Rustgi</t>
  </si>
  <si>
    <t>(716) 634-3340</t>
  </si>
  <si>
    <t>madhu.rustgi@gmail.com</t>
  </si>
  <si>
    <t>KOTOWSKI ADAM</t>
  </si>
  <si>
    <t>Adel Chouchani MD</t>
  </si>
  <si>
    <t>LouAnn Phillips</t>
  </si>
  <si>
    <t>louccs@roadrunner.com</t>
  </si>
  <si>
    <t>Adel Sulaiman MD</t>
  </si>
  <si>
    <t>E0117318</t>
  </si>
  <si>
    <t>SULAIMAN ADEL S MD</t>
  </si>
  <si>
    <t>Karen Viterna</t>
  </si>
  <si>
    <t>bkv1807@chsbuffalo.org</t>
  </si>
  <si>
    <t>SULAIMAN ADEL</t>
  </si>
  <si>
    <t>Afshan Samad MD</t>
  </si>
  <si>
    <t>Shannon Deyell</t>
  </si>
  <si>
    <t>sdeyell@ogawny.com</t>
  </si>
  <si>
    <t>Agnes Quebral MD</t>
  </si>
  <si>
    <t>E0285981</t>
  </si>
  <si>
    <t>QUEBRAL AGNES</t>
  </si>
  <si>
    <t>Claudia Schreiner</t>
  </si>
  <si>
    <t>claudschrein@aol.com</t>
  </si>
  <si>
    <t>QUEBRAL AGNES DR.</t>
  </si>
  <si>
    <t>QUEBRAL AGNES VIDA MD</t>
  </si>
  <si>
    <t>Aislinn Scarbinsky DO</t>
  </si>
  <si>
    <t>Ajay Panchal MD</t>
  </si>
  <si>
    <t>ajaypanchalmd@gmail.com</t>
  </si>
  <si>
    <t>Akram Talhouk MD</t>
  </si>
  <si>
    <t>JoAnn Vogel</t>
  </si>
  <si>
    <t>(716) 857-8800</t>
  </si>
  <si>
    <t>jvogel@buffalomedicalgroup.com</t>
  </si>
  <si>
    <t>Alan Kuritzky MD</t>
  </si>
  <si>
    <t>Alan W. Meholick MD</t>
  </si>
  <si>
    <t>Albert Diaz-Ordaz MD</t>
  </si>
  <si>
    <t>Elizabeth Urbanski</t>
  </si>
  <si>
    <t>(716) 677-9220</t>
  </si>
  <si>
    <t>eurbanski@southtownsgastro.com</t>
  </si>
  <si>
    <t>Albert J Addesa MD</t>
  </si>
  <si>
    <t>E0227176</t>
  </si>
  <si>
    <t>ADDESA ALBERT J JR MD</t>
  </si>
  <si>
    <t>(716) 683-5252</t>
  </si>
  <si>
    <t>ADDESA ALBERT DR.</t>
  </si>
  <si>
    <t>Alberto Benedicto MD</t>
  </si>
  <si>
    <t>E0284363</t>
  </si>
  <si>
    <t>BENEDICTO ALBERTO C MD</t>
  </si>
  <si>
    <t>abenedicto2001@yahoo.com</t>
  </si>
  <si>
    <t>BENEDICTO ALBERTO DR.</t>
  </si>
  <si>
    <t>Alessandra Palma MD</t>
  </si>
  <si>
    <t>Alexander B Gelfer MD</t>
  </si>
  <si>
    <t>Donna Szeluga</t>
  </si>
  <si>
    <t>dszeluga@pgwny.com</t>
  </si>
  <si>
    <t>Alexander Rovner MD</t>
  </si>
  <si>
    <t>(716) 404-2604</t>
  </si>
  <si>
    <t>neurovner@gmail.com</t>
  </si>
  <si>
    <t>Donna Blaird-Wagner NP</t>
  </si>
  <si>
    <t>E0107427</t>
  </si>
  <si>
    <t>BLAIRD-WAGNER DONNA</t>
  </si>
  <si>
    <t>Linda Blazier NP</t>
  </si>
  <si>
    <t>E0010212</t>
  </si>
  <si>
    <t>BLAZIER LINDA M</t>
  </si>
  <si>
    <t>BLAZIER LINDA</t>
  </si>
  <si>
    <t>Betsy Bodie NP</t>
  </si>
  <si>
    <t>E0000813</t>
  </si>
  <si>
    <t>BETSY JOELLE BODIE</t>
  </si>
  <si>
    <t>BODIE BETSY</t>
  </si>
  <si>
    <t>BODIE BETSY JOELLE</t>
  </si>
  <si>
    <t>Diane Bona NP</t>
  </si>
  <si>
    <t>E0324644</t>
  </si>
  <si>
    <t>BONA DIANE</t>
  </si>
  <si>
    <t>Shana Bradigan NP</t>
  </si>
  <si>
    <t>E0344743</t>
  </si>
  <si>
    <t>BRADIGAN SHANA KATHERINE</t>
  </si>
  <si>
    <t>BRADIGAN SHANA</t>
  </si>
  <si>
    <t>Mary Brady NP</t>
  </si>
  <si>
    <t>E0341836</t>
  </si>
  <si>
    <t>BRADY MARY PATRICIA</t>
  </si>
  <si>
    <t>BRADY MARY</t>
  </si>
  <si>
    <t>Rachael Butler NP</t>
  </si>
  <si>
    <t>E0324071</t>
  </si>
  <si>
    <t>BUTLER RACHAEL A</t>
  </si>
  <si>
    <t>BUTLER RACHAEL</t>
  </si>
  <si>
    <t>Theresa Carbone NP</t>
  </si>
  <si>
    <t>Andrea Christopher NP</t>
  </si>
  <si>
    <t>Dawn deGrasse NP</t>
  </si>
  <si>
    <t>E0371810</t>
  </si>
  <si>
    <t>DEGRASSE DAWN HOLLY</t>
  </si>
  <si>
    <t>DEGRASSE DAWN</t>
  </si>
  <si>
    <t>Mary Deveau (Berry) NP</t>
  </si>
  <si>
    <t>E0004250</t>
  </si>
  <si>
    <t>BERRY MARY DEVEAU</t>
  </si>
  <si>
    <t>DEVEAU MARY</t>
  </si>
  <si>
    <t>DEVEAU MARY MARGUERITE</t>
  </si>
  <si>
    <t>Patricia Doucette NP</t>
  </si>
  <si>
    <t>E0092636</t>
  </si>
  <si>
    <t>DOUCETTE PATRICIA M</t>
  </si>
  <si>
    <t>DOUCETTE PATRICIA</t>
  </si>
  <si>
    <t>Lynn Doyle NP</t>
  </si>
  <si>
    <t>E0094866</t>
  </si>
  <si>
    <t>DOYLE LYNN MARIE</t>
  </si>
  <si>
    <t>DOYLE LYNN</t>
  </si>
  <si>
    <t>Kim Ferrucci NP</t>
  </si>
  <si>
    <t>E0072978</t>
  </si>
  <si>
    <t>FERRUCCI KIM M</t>
  </si>
  <si>
    <t>FERRUCCI KIM</t>
  </si>
  <si>
    <t>FERRUCCI KIM MARIE</t>
  </si>
  <si>
    <t>UNIVER OB/GYN</t>
  </si>
  <si>
    <t>Elizabeth Fiorica NP</t>
  </si>
  <si>
    <t>E0342249</t>
  </si>
  <si>
    <t>FIORICA ELIZABETH GRACE</t>
  </si>
  <si>
    <t>FIORICA ELIZABETH</t>
  </si>
  <si>
    <t>Karen Furlani NP</t>
  </si>
  <si>
    <t>E0066181</t>
  </si>
  <si>
    <t>FURLANI KAREN</t>
  </si>
  <si>
    <t>FURLANI KAREN A</t>
  </si>
  <si>
    <t>Pamela Gandy NP</t>
  </si>
  <si>
    <t>E0016329</t>
  </si>
  <si>
    <t>GANDY PAMELA M NP</t>
  </si>
  <si>
    <t>HAMILTON PAMELA MRS.</t>
  </si>
  <si>
    <t>Jaqueline Goldfinch NP</t>
  </si>
  <si>
    <t>E0003442</t>
  </si>
  <si>
    <t>GOLDFINCH JACQUELINE ANNE</t>
  </si>
  <si>
    <t>GOLDFINCH JACQUELINE</t>
  </si>
  <si>
    <t>Christie Goodman-Williams NP</t>
  </si>
  <si>
    <t>E0350847</t>
  </si>
  <si>
    <t>GOODMAN-WILLIAMS CHRISTIE RAE</t>
  </si>
  <si>
    <t>GOODMAN-WILLIAMS CHRISTIE</t>
  </si>
  <si>
    <t>Margaret Gould NP</t>
  </si>
  <si>
    <t>Michelle Graton  NP</t>
  </si>
  <si>
    <t>E0331942</t>
  </si>
  <si>
    <t>GRATON MICHELLE A</t>
  </si>
  <si>
    <t>GRATON MICHELLE</t>
  </si>
  <si>
    <t>Jennifer Grimmer NP</t>
  </si>
  <si>
    <t>E0339115</t>
  </si>
  <si>
    <t>GRIMMER JENNIFER ELIZABETH</t>
  </si>
  <si>
    <t>GRIMMER JENNIFER</t>
  </si>
  <si>
    <t>Desiree Harding NP</t>
  </si>
  <si>
    <t>E0379437</t>
  </si>
  <si>
    <t>HARDING DESIREE J</t>
  </si>
  <si>
    <t>HARDING DESIREE</t>
  </si>
  <si>
    <t>HARDING DESIREE JAMELLA</t>
  </si>
  <si>
    <t>Linda Harm NP</t>
  </si>
  <si>
    <t>E0086403</t>
  </si>
  <si>
    <t>HARM LINDA MARIE</t>
  </si>
  <si>
    <t>HARM LINDA</t>
  </si>
  <si>
    <t>Amy Heyden NP</t>
  </si>
  <si>
    <t>Sandra Jacob NP</t>
  </si>
  <si>
    <t>E0012422</t>
  </si>
  <si>
    <t>JACOB SANDRA MARCEY</t>
  </si>
  <si>
    <t>JACOB SANDRA</t>
  </si>
  <si>
    <t>Amber Kobel NP</t>
  </si>
  <si>
    <t>E0294977</t>
  </si>
  <si>
    <t>KOBEL AMBER M</t>
  </si>
  <si>
    <t>KOEPPEL AMBER</t>
  </si>
  <si>
    <t>Justin Eckler MD</t>
  </si>
  <si>
    <t>Andrew Fabiano MD</t>
  </si>
  <si>
    <t>Robert Fenstermaker* MD</t>
  </si>
  <si>
    <t>Robert Zielinski MD</t>
  </si>
  <si>
    <t>rzielinski@buffalomedicalgroup.com</t>
  </si>
  <si>
    <t>Roger Walcott MD</t>
  </si>
  <si>
    <t>E0297545</t>
  </si>
  <si>
    <t>WALCOTT ROGER</t>
  </si>
  <si>
    <t>Sharon Coggins</t>
  </si>
  <si>
    <t>scoggins@vecwny.com</t>
  </si>
  <si>
    <t>WALCOTT ROGER DR.</t>
  </si>
  <si>
    <t>2121 MAIN ST STE 316</t>
  </si>
  <si>
    <t>Roland Honeine MD</t>
  </si>
  <si>
    <t>E0001566</t>
  </si>
  <si>
    <t>HONEINE ROLAND</t>
  </si>
  <si>
    <t>Kathy Lunetta</t>
  </si>
  <si>
    <t>(716) 675-2660</t>
  </si>
  <si>
    <t>drgreen@allergydocswny.com</t>
  </si>
  <si>
    <t>HONEINE ROLAND MD</t>
  </si>
  <si>
    <t>Romel Bertulfo MD</t>
  </si>
  <si>
    <t>E0009641</t>
  </si>
  <si>
    <t>BERTULFO ROMEL ADUPE MD</t>
  </si>
  <si>
    <t>(716) 891-2536</t>
  </si>
  <si>
    <t>czechowski.jennifer@cogenthmg.com</t>
  </si>
  <si>
    <t>BERTULFO ROMEL DR.</t>
  </si>
  <si>
    <t>Ronald B Boersma MD</t>
  </si>
  <si>
    <t>E0240692</t>
  </si>
  <si>
    <t>BOERSMA RONALD BARTLETT MD</t>
  </si>
  <si>
    <t>(716) 677-6800</t>
  </si>
  <si>
    <t>BOERSMA RONALD DR.</t>
  </si>
  <si>
    <t>Ronald Bauer MD</t>
  </si>
  <si>
    <t>E0150157</t>
  </si>
  <si>
    <t>BAUER RONALD L MD</t>
  </si>
  <si>
    <t>Sharon Winkler</t>
  </si>
  <si>
    <t>sharon.winkler@wny.twcbc.com</t>
  </si>
  <si>
    <t>BAUER RONALD</t>
  </si>
  <si>
    <t>BAUER RONALD LAWRENCE</t>
  </si>
  <si>
    <t>Rosalba Mucciarella MD</t>
  </si>
  <si>
    <t>Mary Mineo</t>
  </si>
  <si>
    <t>marymrbm@choiceonemail.com</t>
  </si>
  <si>
    <t>Rosann Lana MD</t>
  </si>
  <si>
    <t>Rositsa Byers MD</t>
  </si>
  <si>
    <t>E0342208</t>
  </si>
  <si>
    <t>BYERS ROSITSA IVANOVA</t>
  </si>
  <si>
    <t>BYERS ROSITSA</t>
  </si>
  <si>
    <t>Ross Sherban DO</t>
  </si>
  <si>
    <t>Bobby Bogdan</t>
  </si>
  <si>
    <t>(716) 447-6310</t>
  </si>
  <si>
    <t>bobby@drsherban.com</t>
  </si>
  <si>
    <t>Roswell Park Cancer Institute</t>
  </si>
  <si>
    <t>Lisa Damiani</t>
  </si>
  <si>
    <t>(716) 845-3079</t>
  </si>
  <si>
    <t>lisa.damiani@roswellpark.org</t>
  </si>
  <si>
    <t>Roswell Park Cancer Institute (Jamestown)</t>
  </si>
  <si>
    <t>E0348873</t>
  </si>
  <si>
    <t>RPCI ONCOLOGY PC</t>
  </si>
  <si>
    <t>21 PORTER AVE</t>
  </si>
  <si>
    <t>Roy R. DeFrancis DPM</t>
  </si>
  <si>
    <t>doctorfoot@aol.com</t>
  </si>
  <si>
    <t>Rudolph Mueller</t>
  </si>
  <si>
    <t>E0164091</t>
  </si>
  <si>
    <t>MUELLER RUDOLPH J MD</t>
  </si>
  <si>
    <t>Kathleen Stanton</t>
  </si>
  <si>
    <t>(716) 665-8184</t>
  </si>
  <si>
    <t>k.stanton@jamestownprimarycare.com</t>
  </si>
  <si>
    <t>MUELLER RUDOLPH</t>
  </si>
  <si>
    <t>31 SHERMAN ST STE 1100</t>
  </si>
  <si>
    <t>Rurik Johnson MD</t>
  </si>
  <si>
    <t>Donna Stanley</t>
  </si>
  <si>
    <t>dstanley65@hotmail.com</t>
  </si>
  <si>
    <t>Russell E. Carlson MD, FACS, FCCP</t>
  </si>
  <si>
    <t>E0078845</t>
  </si>
  <si>
    <t>CARLSON RUSSELL E MD</t>
  </si>
  <si>
    <t>(716) 632-0006</t>
  </si>
  <si>
    <t>rcmdfacs@hotmail.com</t>
  </si>
  <si>
    <t>CARLSON RUSSELL DR.</t>
  </si>
  <si>
    <t>Ruta Kirstein</t>
  </si>
  <si>
    <t>Ryan Weber DO</t>
  </si>
  <si>
    <t>(716) 759-8815</t>
  </si>
  <si>
    <t>ryaweber@gmail.com</t>
  </si>
  <si>
    <t>Ryan White MD</t>
  </si>
  <si>
    <t>E0041971</t>
  </si>
  <si>
    <t>WHITE RYAN G MD</t>
  </si>
  <si>
    <t>(716) 338-9200</t>
  </si>
  <si>
    <t>WHITE RYAN</t>
  </si>
  <si>
    <t>WHITE RYAN GERRY</t>
  </si>
  <si>
    <t>1 TIMBERVIEW LN</t>
  </si>
  <si>
    <t>RUSSELL</t>
  </si>
  <si>
    <t>Ryan Wilkins MD</t>
  </si>
  <si>
    <t>E0363187</t>
  </si>
  <si>
    <t>WILKINS RYAN DAVID</t>
  </si>
  <si>
    <t>Tina Johannes</t>
  </si>
  <si>
    <t>repicci@roadrunner.com</t>
  </si>
  <si>
    <t>WILKINS RYAN DR.</t>
  </si>
  <si>
    <t>S. Ray Ogra MD</t>
  </si>
  <si>
    <t>Sachin Wadhawan MD</t>
  </si>
  <si>
    <t>swadhawan@buffaloheartgroup.com</t>
  </si>
  <si>
    <t>Saif Soniwala MD</t>
  </si>
  <si>
    <t>Seema Bhat MD</t>
  </si>
  <si>
    <t>Paul Bogner MD</t>
  </si>
  <si>
    <t>E0036213</t>
  </si>
  <si>
    <t>BOGNER PAUL NIKOLAI MD</t>
  </si>
  <si>
    <t>BOGNER PAUL</t>
  </si>
  <si>
    <t>Mamoon Bokhari MD</t>
  </si>
  <si>
    <t>E0013947</t>
  </si>
  <si>
    <t>BOKHARI MAMOON MD</t>
  </si>
  <si>
    <t>BOKHARI MAMOON</t>
  </si>
  <si>
    <t>Patrick Boland MD</t>
  </si>
  <si>
    <t>E0362346</t>
  </si>
  <si>
    <t>BOLAND PATRICK MCKAY</t>
  </si>
  <si>
    <t>BOLAND PATRICK</t>
  </si>
  <si>
    <t>Kathleen Dyson-Budzinski MD</t>
  </si>
  <si>
    <t>Kathleen Glass</t>
  </si>
  <si>
    <t>Karen Dull</t>
  </si>
  <si>
    <t>karend@medicorassociates.com</t>
  </si>
  <si>
    <t>Kathleen McCarthy</t>
  </si>
  <si>
    <t>E0103355</t>
  </si>
  <si>
    <t>MCCARTHY KATHLEEN M</t>
  </si>
  <si>
    <t>(716) 828-2775</t>
  </si>
  <si>
    <t>MCCARTHY KATHLEEN</t>
  </si>
  <si>
    <t>397 LOUISIANA ST</t>
  </si>
  <si>
    <t>Kathryn Nelson</t>
  </si>
  <si>
    <t>Michael Hocko MD</t>
  </si>
  <si>
    <t>hock@buffalo.edu</t>
  </si>
  <si>
    <t>Michael J Hong MD</t>
  </si>
  <si>
    <t>(716) 819-1807</t>
  </si>
  <si>
    <t>honolulu121151@yahoo.com</t>
  </si>
  <si>
    <t>Michael J. Chaskes MD</t>
  </si>
  <si>
    <t>Nancy -</t>
  </si>
  <si>
    <t>nawogtul@buffalo.edu</t>
  </si>
  <si>
    <t>Michael J. Pelechaty, Jr. MD</t>
  </si>
  <si>
    <t>E0129759</t>
  </si>
  <si>
    <t>PELECHATY MICHAEL JOHN JR MD</t>
  </si>
  <si>
    <t>Michael J. Pietrusik DPM</t>
  </si>
  <si>
    <t>(716) 822-3411</t>
  </si>
  <si>
    <t>PietrusikM@verizon.net</t>
  </si>
  <si>
    <t>Michael Kane MD</t>
  </si>
  <si>
    <t>E0072795</t>
  </si>
  <si>
    <t>KANE MICHAEL PAUL MD</t>
  </si>
  <si>
    <t>KANE MICHAEL DR.</t>
  </si>
  <si>
    <t>Michael Kozower MD</t>
  </si>
  <si>
    <t>Michael Krabak MD</t>
  </si>
  <si>
    <t>Mai Shaker</t>
  </si>
  <si>
    <t>shaker.mai@yahoo.com</t>
  </si>
  <si>
    <t>Michael Kreymer DO</t>
  </si>
  <si>
    <t>E0339457</t>
  </si>
  <si>
    <t>KREYMER MICHAEL</t>
  </si>
  <si>
    <t>KREYMER MICHAEL DR.</t>
  </si>
  <si>
    <t>5290 MILITARY RD STE 6</t>
  </si>
  <si>
    <t>Michael LaCivita DPM</t>
  </si>
  <si>
    <t>E0032558</t>
  </si>
  <si>
    <t>LACIVITA MICHAEL D</t>
  </si>
  <si>
    <t>Ann Marie Sikora</t>
  </si>
  <si>
    <t>annmariesikora@yahoo.com</t>
  </si>
  <si>
    <t>LACIVITA MICHAEL</t>
  </si>
  <si>
    <t>9600 MAIN ST</t>
  </si>
  <si>
    <t>Michael Landi MD</t>
  </si>
  <si>
    <t>Debbie Esposito</t>
  </si>
  <si>
    <t>desposito@invisionhealth.com</t>
  </si>
  <si>
    <t>Michael Licata MD</t>
  </si>
  <si>
    <t>E0147122</t>
  </si>
  <si>
    <t>LICATA MICHAEL MD</t>
  </si>
  <si>
    <t>ml7burbank@aol.com</t>
  </si>
  <si>
    <t>LICATA MICHAEL DR.</t>
  </si>
  <si>
    <t>VICTORY RADIOLOGY</t>
  </si>
  <si>
    <t>Michael Merletti DPM</t>
  </si>
  <si>
    <t>E0179324</t>
  </si>
  <si>
    <t>MERLETTI MICHAEL J DPM</t>
  </si>
  <si>
    <t>(716) 284-2242</t>
  </si>
  <si>
    <t>MJMerletti@gmail.com</t>
  </si>
  <si>
    <t>MERLETTI MICHAEL DR.</t>
  </si>
  <si>
    <t>Michael Mitchell MD</t>
  </si>
  <si>
    <t>mmit85@roadrunner.com</t>
  </si>
  <si>
    <t>Michael Ostempowski MD</t>
  </si>
  <si>
    <t>Rochelle Perrington</t>
  </si>
  <si>
    <t>rperrington@buffortho.com</t>
  </si>
  <si>
    <t>Michael P. Rade MD</t>
  </si>
  <si>
    <t>E0236310</t>
  </si>
  <si>
    <t>RADE MICHAEL P             MD</t>
  </si>
  <si>
    <t>RADE MICHAEL DR.</t>
  </si>
  <si>
    <t>MERCY HOSPITAL</t>
  </si>
  <si>
    <t>Michael Parentis MD</t>
  </si>
  <si>
    <t>Michael Peyser MD</t>
  </si>
  <si>
    <t>Ann Marie Kramer</t>
  </si>
  <si>
    <t>kramer.annmarie@yahoo.com</t>
  </si>
  <si>
    <t>Michael Rabice MD</t>
  </si>
  <si>
    <t>Sandi Sage</t>
  </si>
  <si>
    <t>rootsnwings1220@msn.com</t>
  </si>
  <si>
    <t>Michael Rauh MD</t>
  </si>
  <si>
    <t>Kim Cenname</t>
  </si>
  <si>
    <t>kmrugal@buffalo.edu</t>
  </si>
  <si>
    <t>Michael S Gough MD</t>
  </si>
  <si>
    <t>E0300428</t>
  </si>
  <si>
    <t>GOUGH MICHAEL</t>
  </si>
  <si>
    <t>(716) 949-3449</t>
  </si>
  <si>
    <t>mgough@chsbuffalo.org</t>
  </si>
  <si>
    <t>GOUGH MICHAEL DR.</t>
  </si>
  <si>
    <t>GOUGH MICHAEL S</t>
  </si>
  <si>
    <t>Michael S. Albert MD</t>
  </si>
  <si>
    <t>E0165974</t>
  </si>
  <si>
    <t>ALBERT MICHAEL S MD</t>
  </si>
  <si>
    <t>ALBERT MICHAEL</t>
  </si>
  <si>
    <t>Michael Sansano, Jr. MD</t>
  </si>
  <si>
    <t>Claudia Sansano</t>
  </si>
  <si>
    <t>(716) 828-3460</t>
  </si>
  <si>
    <t>msansano@roadrunner.com</t>
  </si>
  <si>
    <t>Michael Stoffman MD</t>
  </si>
  <si>
    <t>Michael Terranova MD</t>
  </si>
  <si>
    <t>Michael Weingarten MD</t>
  </si>
  <si>
    <t>Sandy Enser</t>
  </si>
  <si>
    <t>kaprove1@verizon.net</t>
  </si>
  <si>
    <t>Alfredo Rodes MD</t>
  </si>
  <si>
    <t>E0133014</t>
  </si>
  <si>
    <t>RODES ALFREDO MAULA MD</t>
  </si>
  <si>
    <t>RODES ALFREDO</t>
  </si>
  <si>
    <t>RODES ALFREDO MAULA</t>
  </si>
  <si>
    <t>MED ASC SOUTHTOWNS</t>
  </si>
  <si>
    <t>Ali Ghomi MD</t>
  </si>
  <si>
    <t>E0046812</t>
  </si>
  <si>
    <t>GHOMI ALI MD</t>
  </si>
  <si>
    <t>Barb Bosinski</t>
  </si>
  <si>
    <t>(716) 862-1965</t>
  </si>
  <si>
    <t>bbosinski@chsbuffalo.org</t>
  </si>
  <si>
    <t>GHOMI ALI</t>
  </si>
  <si>
    <t>Alka Chatrath MD</t>
  </si>
  <si>
    <t>E0050724</t>
  </si>
  <si>
    <t>CHATRATH ALKA MD</t>
  </si>
  <si>
    <t>CHATRATH ALKA</t>
  </si>
  <si>
    <t>Jeffrey Almeter</t>
  </si>
  <si>
    <t>Barbara Mincarelli</t>
  </si>
  <si>
    <t>E0029117</t>
  </si>
  <si>
    <t>MINCARELLI BARBARA ANN MD</t>
  </si>
  <si>
    <t>MINCARELLI BARBARA</t>
  </si>
  <si>
    <t>Barbara Robinson</t>
  </si>
  <si>
    <t>E0065897</t>
  </si>
  <si>
    <t>ROBINSON BARBARA J</t>
  </si>
  <si>
    <t>ROBINSON BARBARA JEAN</t>
  </si>
  <si>
    <t>Barbara Stefanick MD</t>
  </si>
  <si>
    <t>E0095319</t>
  </si>
  <si>
    <t>STEFANICK BARBARA</t>
  </si>
  <si>
    <t>UNIV BUFFALO PATHOLO</t>
  </si>
  <si>
    <t>Barbara Stouter MD</t>
  </si>
  <si>
    <t>E0179668</t>
  </si>
  <si>
    <t>STOUTER BARBARA S</t>
  </si>
  <si>
    <t>Maryann Tabbi</t>
  </si>
  <si>
    <t>mtabbi@kidsalliancepediatrics.com</t>
  </si>
  <si>
    <t>STOUTER BARBARA</t>
  </si>
  <si>
    <t>Barry Fitzgerald DPM</t>
  </si>
  <si>
    <t>E0185307</t>
  </si>
  <si>
    <t>FITZGERALD BARRY J DPM</t>
  </si>
  <si>
    <t>Debbie McKenna</t>
  </si>
  <si>
    <t>(716) 822-0118</t>
  </si>
  <si>
    <t>dmckenna@chsbuffalo.org</t>
  </si>
  <si>
    <t>FITZGERALD BARRY</t>
  </si>
  <si>
    <t>FITZGERALD BARRY J</t>
  </si>
  <si>
    <t>843 MCKINLEY PKWY</t>
  </si>
  <si>
    <t>Bashir Attuwaybi MD</t>
  </si>
  <si>
    <t>Judith A. Boerdner, RN</t>
  </si>
  <si>
    <t>(716) 630-1081</t>
  </si>
  <si>
    <t>jboerdner@buffalomedicalgroup.com</t>
  </si>
  <si>
    <t>Bela Ajtai MD</t>
  </si>
  <si>
    <t>Bellamkonda Raghu MD</t>
  </si>
  <si>
    <t>bsvraghu@msn.com</t>
  </si>
  <si>
    <t>Benjamin J Schaus DO</t>
  </si>
  <si>
    <t>John Bodkin MD</t>
  </si>
  <si>
    <t>jjblaxref@gmail.com</t>
  </si>
  <si>
    <t>KELLY HALCOMB PA</t>
  </si>
  <si>
    <t>E0035057</t>
  </si>
  <si>
    <t>KASTNER KELLY A RPA</t>
  </si>
  <si>
    <t>HALCOMB KELLY MRS.</t>
  </si>
  <si>
    <t>HALCOMB KELLY A RPA</t>
  </si>
  <si>
    <t>Kelly Manganello PA</t>
  </si>
  <si>
    <t>E0326416</t>
  </si>
  <si>
    <t>KELLY LYNN MANGANELLO</t>
  </si>
  <si>
    <t>MANGANELLO KELLY</t>
  </si>
  <si>
    <t>MANGANELLO KELLY LYNN</t>
  </si>
  <si>
    <t>Kelly Pietrzak NP</t>
  </si>
  <si>
    <t>E0036496</t>
  </si>
  <si>
    <t>DZIEDZIC KELLY ANNE</t>
  </si>
  <si>
    <t>PIETRZAK KELLY</t>
  </si>
  <si>
    <t>PIETRZAK KELLY A</t>
  </si>
  <si>
    <t>Kimberlee Wilcox NP</t>
  </si>
  <si>
    <t>E0048282</t>
  </si>
  <si>
    <t>WILCOX KIMBERLEE A</t>
  </si>
  <si>
    <t>WILCOX KIMBERLEE</t>
  </si>
  <si>
    <t>KONST LINDSEY PA</t>
  </si>
  <si>
    <t>E0336218</t>
  </si>
  <si>
    <t>SCHRIMMEL LINDSEY NICOLE</t>
  </si>
  <si>
    <t>KONST LINDSEY MS.</t>
  </si>
  <si>
    <t>Kris Ziegler NP</t>
  </si>
  <si>
    <t>E0065715</t>
  </si>
  <si>
    <t>KRIS ZIEGLER</t>
  </si>
  <si>
    <t>ZIEGLER KRIS MS.</t>
  </si>
  <si>
    <t>ZIEGLER KRIS</t>
  </si>
  <si>
    <t>Kristel Stevens PA</t>
  </si>
  <si>
    <t>E0027907</t>
  </si>
  <si>
    <t>STEVENS KRISTEL A RPA</t>
  </si>
  <si>
    <t>STEVENS KRISTEL</t>
  </si>
  <si>
    <t>Kristen Clancy PA</t>
  </si>
  <si>
    <t>Cammarata, Michael</t>
  </si>
  <si>
    <t>Casassa, David</t>
  </si>
  <si>
    <t>Chudy, Ashley</t>
  </si>
  <si>
    <t>DelBello, Julie</t>
  </si>
  <si>
    <t>DiPasqua, Aimee</t>
  </si>
  <si>
    <t>Dryja, Eric</t>
  </si>
  <si>
    <t>Faraco, Maraiel</t>
  </si>
  <si>
    <t>Farrell, Melissa</t>
  </si>
  <si>
    <t>DePaul Community Services, Inc. - PROS</t>
  </si>
  <si>
    <t>Chad E. Szymanski DO</t>
  </si>
  <si>
    <t>E0060461</t>
  </si>
  <si>
    <t>SZYMANSKI CHAD E DO</t>
  </si>
  <si>
    <t>cespcwny@gmail.com</t>
  </si>
  <si>
    <t>SZYMANSKI CHAD DR.</t>
  </si>
  <si>
    <t>Chad Strittmatter MD</t>
  </si>
  <si>
    <t>E0038987</t>
  </si>
  <si>
    <t>STRITTMATTER CHAD ALOYSIUS MD</t>
  </si>
  <si>
    <t>STRITTMATTER CHAD</t>
  </si>
  <si>
    <t>Chad Tyler DO</t>
  </si>
  <si>
    <t>E0321177</t>
  </si>
  <si>
    <t>TYLER CHAD P DO</t>
  </si>
  <si>
    <t>Lynnda Clark</t>
  </si>
  <si>
    <t>clarkl@sheridanmedgroup.com</t>
  </si>
  <si>
    <t>TYLER CHAD</t>
  </si>
  <si>
    <t>1491 SHERIDAN DR STE 100</t>
  </si>
  <si>
    <t>Charles Niles MD</t>
  </si>
  <si>
    <t>Ellen Niles</t>
  </si>
  <si>
    <t>eniles2020@gmail.com</t>
  </si>
  <si>
    <t>Charles Rice MD</t>
  </si>
  <si>
    <t>E0235231</t>
  </si>
  <si>
    <t>RICE CHARLES D             MD</t>
  </si>
  <si>
    <t>(716) 298-3000</t>
  </si>
  <si>
    <t>sandra.boyd@msmh.org</t>
  </si>
  <si>
    <t>RICE CHARLES</t>
  </si>
  <si>
    <t>RICE CHARLES D MD</t>
  </si>
  <si>
    <t>Charles Yates MD</t>
  </si>
  <si>
    <t>Beth Hoerner</t>
  </si>
  <si>
    <t>ehoerner@ipcm.com</t>
  </si>
  <si>
    <t>Chase, Wendy PA-C</t>
  </si>
  <si>
    <t>E0153208</t>
  </si>
  <si>
    <t>CHASE WENDY K</t>
  </si>
  <si>
    <t>CHASE WENDY</t>
  </si>
  <si>
    <t>Chautauqua Alcohol and Substance Abuse Council</t>
  </si>
  <si>
    <t>Pat Munson</t>
  </si>
  <si>
    <t>pzm@casacweb.org</t>
  </si>
  <si>
    <t>501 W 3rd St. Suites 3&amp;4 Sprinchrn Building</t>
  </si>
  <si>
    <t>Chautauqua County Health Network</t>
  </si>
  <si>
    <t>Ann Abdella</t>
  </si>
  <si>
    <t>200 Harrison St. , Suite 200</t>
  </si>
  <si>
    <t>Chautauqua County Office for the Aging</t>
  </si>
  <si>
    <t>Mary Ann Spanos</t>
  </si>
  <si>
    <t>spanosm@co.chautuaqua.ny.us</t>
  </si>
  <si>
    <t>Chautauqua Region Associated Medical Partners</t>
  </si>
  <si>
    <t>200 Harrison Street, Suite 200</t>
  </si>
  <si>
    <t>Chautauqua Region Associated Medical Partners (AMP)</t>
  </si>
  <si>
    <t>Chautuaqua County Health Network</t>
  </si>
  <si>
    <t>200 Harrison Street, 2nd Floor</t>
  </si>
  <si>
    <t>Chee Kim MD</t>
  </si>
  <si>
    <t>ckim@buffalomedicalgroup.com</t>
  </si>
  <si>
    <t>Chelsey Gray</t>
  </si>
  <si>
    <t>E0335414</t>
  </si>
  <si>
    <t>GRAY CHELSEY MICHELE</t>
  </si>
  <si>
    <t>GRAY CHELSEY MS.</t>
  </si>
  <si>
    <t>Chelsie Bax DO</t>
  </si>
  <si>
    <t>E0351325</t>
  </si>
  <si>
    <t>BAX CHELSIE ANN</t>
  </si>
  <si>
    <t>BAX CHELSIE</t>
  </si>
  <si>
    <t>Jack Lawler MD</t>
  </si>
  <si>
    <t>E0170411</t>
  </si>
  <si>
    <t>LAWLER JACK R MD</t>
  </si>
  <si>
    <t>Barbara Bosinski</t>
  </si>
  <si>
    <t>(716) 862-1506</t>
  </si>
  <si>
    <t>LAWLER JACK</t>
  </si>
  <si>
    <t>Jacqueline Dombrowski MD</t>
  </si>
  <si>
    <t>southtownsmedpeds@yahoo.com</t>
  </si>
  <si>
    <t>Jae Sung Lee MD</t>
  </si>
  <si>
    <t>E0240723</t>
  </si>
  <si>
    <t>LEE JAE S                  MD</t>
  </si>
  <si>
    <t>LEE JAE MR.</t>
  </si>
  <si>
    <t>Jafar W Siddiqui MD</t>
  </si>
  <si>
    <t>E0294974</t>
  </si>
  <si>
    <t>SIDDIQUI JAFAR</t>
  </si>
  <si>
    <t>Peg Garland</t>
  </si>
  <si>
    <t>(716) 580-3380</t>
  </si>
  <si>
    <t>pgarland@nyspineandwellness.com</t>
  </si>
  <si>
    <t>SIDDIQUI JAFAR DR.</t>
  </si>
  <si>
    <t>SIDDIQUI JAFAR WAHEED</t>
  </si>
  <si>
    <t>Salvatore M Calandra MD</t>
  </si>
  <si>
    <t>Buffalo Psychiatric Center</t>
  </si>
  <si>
    <t>Celia Spacone, PhD</t>
  </si>
  <si>
    <t>(716) 816-2011</t>
  </si>
  <si>
    <t>celia.spacone@omh.ny.gov</t>
  </si>
  <si>
    <t>E0011098</t>
  </si>
  <si>
    <t>BUFFALO PSYCH CTR PMHP</t>
  </si>
  <si>
    <t>BUFFALO PC</t>
  </si>
  <si>
    <t>BUFFALO PSYCHIATRIC CENTER PMHP</t>
  </si>
  <si>
    <t>Buffalo Urban League</t>
  </si>
  <si>
    <t>Grace Tate</t>
  </si>
  <si>
    <t>14 Genesee St.</t>
  </si>
  <si>
    <t>Calogero Ippolito MD</t>
  </si>
  <si>
    <t>Cantalician Center for Learning</t>
  </si>
  <si>
    <t>Melissa Acquard</t>
  </si>
  <si>
    <t>macquard@cantalician.org</t>
  </si>
  <si>
    <t>Hopkins, Roland, MA/CRC/LMHC</t>
  </si>
  <si>
    <t>Anne Kabatt</t>
  </si>
  <si>
    <t>akabatt@northwestcmhc.org</t>
  </si>
  <si>
    <t>HOPKINS ROLAND</t>
  </si>
  <si>
    <t>Kabatt, Anne, LCSW-R</t>
  </si>
  <si>
    <t>KABATT ANNE</t>
  </si>
  <si>
    <t>Klopfer, Linda, R.N.</t>
  </si>
  <si>
    <t>KLOPFER LINDA</t>
  </si>
  <si>
    <t>Lent, Lynn, R.N.</t>
  </si>
  <si>
    <t>LENT LYNN</t>
  </si>
  <si>
    <t>1300 NIAGARA STREET</t>
  </si>
  <si>
    <t>Manuszewski, Amanda, MS</t>
  </si>
  <si>
    <t>MANUSZEWSKI AMANDA</t>
  </si>
  <si>
    <t>Marconi, Joanne, B.S.W.</t>
  </si>
  <si>
    <t>MARCONI JOANNE</t>
  </si>
  <si>
    <t>McMahon, Sheila, B.S.</t>
  </si>
  <si>
    <t>MCMAHON SHELIA</t>
  </si>
  <si>
    <t>Myles, Shieda, M.S.W.</t>
  </si>
  <si>
    <t>MYLES SHIEDA</t>
  </si>
  <si>
    <t>Palumbo, Alison, M.S.W.</t>
  </si>
  <si>
    <t>PALUMBO ALISON</t>
  </si>
  <si>
    <t>Prus, Amanda, M.S.W.</t>
  </si>
  <si>
    <t>PRUS AMANDA</t>
  </si>
  <si>
    <t>jmcandrew@mhacatt.org</t>
  </si>
  <si>
    <t>PO Box 833, 121 N. Union St</t>
  </si>
  <si>
    <t>Cattaraugus Rehabilitation Center, Inc.</t>
  </si>
  <si>
    <t>Mari Howard</t>
  </si>
  <si>
    <t>NYSARC INC., Cattaraugus County Chapter</t>
  </si>
  <si>
    <t>Cattaraugus Rehab Center Inc</t>
  </si>
  <si>
    <t>Cattaraugus Rehabilitation Ct</t>
  </si>
  <si>
    <t>Cattaraugus Rehab Ctr</t>
  </si>
  <si>
    <t>Cattaraugus Rehab Str TBI</t>
  </si>
  <si>
    <t>OMRDD/Catt Rehab Ctr Inc</t>
  </si>
  <si>
    <t>E0100368</t>
  </si>
  <si>
    <t>OMRDD/CATT REHAB CTR INC</t>
  </si>
  <si>
    <t>CATTARAUGUS REHAB CTR INC</t>
  </si>
  <si>
    <t>Cattaraugus Rehab Center MH</t>
  </si>
  <si>
    <t>Jennifer Gurske-dePerio MD</t>
  </si>
  <si>
    <t>Jennifer L. Rojek MD</t>
  </si>
  <si>
    <t>Jennifer Matier MD</t>
  </si>
  <si>
    <t>E0322875</t>
  </si>
  <si>
    <t>MATIER JENNIFER MICHALIK</t>
  </si>
  <si>
    <t>MATIER JENNIFER</t>
  </si>
  <si>
    <t>Jennifer McVige MD</t>
  </si>
  <si>
    <t>Jennifer Ray MD</t>
  </si>
  <si>
    <t>E0031540</t>
  </si>
  <si>
    <t>KAM JENNIFER  MD</t>
  </si>
  <si>
    <t>jenkamray@yahoo.com</t>
  </si>
  <si>
    <t>RAY JENNIFER DR.</t>
  </si>
  <si>
    <t>RAY JENNIFER K MD</t>
  </si>
  <si>
    <t>Jennifer Roller MD</t>
  </si>
  <si>
    <t>Marcia Chelminiak</t>
  </si>
  <si>
    <t>mchelminiak@century-airportpeds.com</t>
  </si>
  <si>
    <t>Jennifer Teeter DO</t>
  </si>
  <si>
    <t>E0311823</t>
  </si>
  <si>
    <t>TEETER JENNIFER</t>
  </si>
  <si>
    <t>2875 UNION RD</t>
  </si>
  <si>
    <t>Jennifer Wisnoski MD</t>
  </si>
  <si>
    <t>E0030437</t>
  </si>
  <si>
    <t>WISNOSKI JENNIFER ANN</t>
  </si>
  <si>
    <t>WISNOSKI JENNIFER DR.</t>
  </si>
  <si>
    <t>Jeon Lee MD</t>
  </si>
  <si>
    <t>E0217257</t>
  </si>
  <si>
    <t>LEE JEON HOO               MD</t>
  </si>
  <si>
    <t>(716) 634-6503</t>
  </si>
  <si>
    <t>jeonhlee2003@yahoo.com</t>
  </si>
  <si>
    <t>LEE JEON</t>
  </si>
  <si>
    <t>Jerome Ulatowski MD</t>
  </si>
  <si>
    <t>Jerzy Prygodzki</t>
  </si>
  <si>
    <t>E0083476</t>
  </si>
  <si>
    <t>PRZYGODZKI JERZY MD</t>
  </si>
  <si>
    <t>PRZYGODZKI JERZY</t>
  </si>
  <si>
    <t>JAMESTOWN PEDIATRIC</t>
  </si>
  <si>
    <t>Jessica E. Ogorchock MD</t>
  </si>
  <si>
    <t>E0334389</t>
  </si>
  <si>
    <t>OGORCHOCK JESSICA E</t>
  </si>
  <si>
    <t>OGORCHOCK-CONGILOSI JESSICA DR.</t>
  </si>
  <si>
    <t>OGORCHOCK-CONGILOSI JESSICA E</t>
  </si>
  <si>
    <t>4855 CAMP RD STE 100</t>
  </si>
  <si>
    <t>Jesus Santiano MD</t>
  </si>
  <si>
    <t>E0105532</t>
  </si>
  <si>
    <t>SANTIANO JESUS A T MD</t>
  </si>
  <si>
    <t>SANTIANO JESUS</t>
  </si>
  <si>
    <t>Ji Young Lee MD</t>
  </si>
  <si>
    <t>(716) 862-1492</t>
  </si>
  <si>
    <t>jylee_obgyn@yahoo.com</t>
  </si>
  <si>
    <t>Jia Zhao MD</t>
  </si>
  <si>
    <t>E0065475</t>
  </si>
  <si>
    <t>ZHAO JIA</t>
  </si>
  <si>
    <t>Jihad Abialmouna MD</t>
  </si>
  <si>
    <t>Nada Abialmouna</t>
  </si>
  <si>
    <t>tonmed1@yahoo.com</t>
  </si>
  <si>
    <t>Joan Osswald</t>
  </si>
  <si>
    <t>E0022610</t>
  </si>
  <si>
    <t>OSSWALD JOAN M</t>
  </si>
  <si>
    <t>(716) 847-6610</t>
  </si>
  <si>
    <t>OSSWALD JOAN</t>
  </si>
  <si>
    <t>Joan Vivona MD</t>
  </si>
  <si>
    <t>E0115756</t>
  </si>
  <si>
    <t>VIVONA JOAN A MD</t>
  </si>
  <si>
    <t>(716) 879-0830</t>
  </si>
  <si>
    <t>breathejo@yahoo.com</t>
  </si>
  <si>
    <t>VIVONA JOAN</t>
  </si>
  <si>
    <t>John A. Brach MD</t>
  </si>
  <si>
    <t>John A. Leone DO</t>
  </si>
  <si>
    <t>E0172240</t>
  </si>
  <si>
    <t>LEONE JOHN A DO</t>
  </si>
  <si>
    <t>LEONE JOHN DR.</t>
  </si>
  <si>
    <t>John A. Moscato MD</t>
  </si>
  <si>
    <t>E0234088</t>
  </si>
  <si>
    <t>MOSCATO JOHN A PC          MD</t>
  </si>
  <si>
    <t>(716) 662-1221</t>
  </si>
  <si>
    <t>jmoscato@verizon.net</t>
  </si>
  <si>
    <t>MOSCATO JOHN</t>
  </si>
  <si>
    <t>John Asirwatham MD</t>
  </si>
  <si>
    <t>E0162864</t>
  </si>
  <si>
    <t>ASIRWATHAM JOHN EDWIN MD</t>
  </si>
  <si>
    <t>ASIRWATHAM JOHN</t>
  </si>
  <si>
    <t>UNV BUF PATHOLOGISTS</t>
  </si>
  <si>
    <t>John B. Wiles MD</t>
  </si>
  <si>
    <t>E0235144</t>
  </si>
  <si>
    <t>WILES JOHN B               MD</t>
  </si>
  <si>
    <t>Marianne Roberts</t>
  </si>
  <si>
    <t>(716) 893-0221</t>
  </si>
  <si>
    <t>mariroberts@roadrunner.com</t>
  </si>
  <si>
    <t>WILES JOHN DR.</t>
  </si>
  <si>
    <t>WILES JOHN B</t>
  </si>
  <si>
    <t>John Bell-Thomson MD</t>
  </si>
  <si>
    <t>E0255482</t>
  </si>
  <si>
    <t>BELL THOMSON JOHN MD</t>
  </si>
  <si>
    <t>surgxl@me.com</t>
  </si>
  <si>
    <t>BELL-THOMSON JOHN DR.</t>
  </si>
  <si>
    <t>St. Catherine Laboure</t>
  </si>
  <si>
    <t>E0264490</t>
  </si>
  <si>
    <t>ST CATHERINE LABOURE HCC SNF</t>
  </si>
  <si>
    <t>ST CATHERINE LABOURE MEDICAL ADULT DAY HEALTHCARE PROGRAM</t>
  </si>
  <si>
    <t>ST CATHERINE LABOURE HLT CR CT ADHC</t>
  </si>
  <si>
    <t>Fisher, Kristen</t>
  </si>
  <si>
    <t>Frisicaro, Gerald</t>
  </si>
  <si>
    <t>Fritton, Lori</t>
  </si>
  <si>
    <t>Kristen Snyder-Smith PA</t>
  </si>
  <si>
    <t>E0369985</t>
  </si>
  <si>
    <t>SNYDER KRISTEN</t>
  </si>
  <si>
    <t>SMITH KRISTEN</t>
  </si>
  <si>
    <t>Kristin Hanson NP</t>
  </si>
  <si>
    <t>E0171302</t>
  </si>
  <si>
    <t>HANSON KRISTINE G  NP</t>
  </si>
  <si>
    <t>HANSON KRISTINE MRS.</t>
  </si>
  <si>
    <t>HANSON KRISTINE GAYLE</t>
  </si>
  <si>
    <t>2550 DELAWARE AVE</t>
  </si>
  <si>
    <t>Kristin Mulligan PA</t>
  </si>
  <si>
    <t>E0371384</t>
  </si>
  <si>
    <t>MULLIGAN KRISTIN MICHELLE</t>
  </si>
  <si>
    <t>SOBIERAJ KRISTIN</t>
  </si>
  <si>
    <t>SOBIERAJ KRISTIN MICHELLE</t>
  </si>
  <si>
    <t>Laila Schwinge NP</t>
  </si>
  <si>
    <t>E0063207</t>
  </si>
  <si>
    <t>AMHERST MEDICAL ASSOC LLP</t>
  </si>
  <si>
    <t>AMHERST MEDICAL ASSOCIATES, LLP</t>
  </si>
  <si>
    <t>Lara Besseghini NP</t>
  </si>
  <si>
    <t>E0371665</t>
  </si>
  <si>
    <t>BESSEGHINI LARA</t>
  </si>
  <si>
    <t>BESSEGHINI LARA MS.</t>
  </si>
  <si>
    <t>LAURA DIGIULIO PA</t>
  </si>
  <si>
    <t>E0049567</t>
  </si>
  <si>
    <t>DIGIULIO LAURA N</t>
  </si>
  <si>
    <t>DIGIULIO LAURA</t>
  </si>
  <si>
    <t>DIGIULIO LAURA NICOLE</t>
  </si>
  <si>
    <t>Laura Klopp PA-C</t>
  </si>
  <si>
    <t>E0379060</t>
  </si>
  <si>
    <t>KLOPP LAURA EVE</t>
  </si>
  <si>
    <t>KLOPP LAURA</t>
  </si>
  <si>
    <t>3065 SOUTHWESTERN BLVD STE 102</t>
  </si>
  <si>
    <t>Laura Schinzel NP</t>
  </si>
  <si>
    <t>E0065773</t>
  </si>
  <si>
    <t>SCHINZEL LAURA A</t>
  </si>
  <si>
    <t>FUNKE LAURA MRS.</t>
  </si>
  <si>
    <t>Lauralee Sibiga PA</t>
  </si>
  <si>
    <t>E0370006</t>
  </si>
  <si>
    <t>SIBIGA LAURALEE</t>
  </si>
  <si>
    <t>Lauren Jendraszek PA</t>
  </si>
  <si>
    <t>E0311744</t>
  </si>
  <si>
    <t>LAUREN MARIE JENDRASZEK</t>
  </si>
  <si>
    <t>JENDRASZEK LAUREN</t>
  </si>
  <si>
    <t>JENDRASZEK LAUREN MARIE</t>
  </si>
  <si>
    <t>Laurie Brown-Croyts NP</t>
  </si>
  <si>
    <t>E0339994</t>
  </si>
  <si>
    <t>BROWN-CROYTS LAURIE</t>
  </si>
  <si>
    <t>BROWN-CROYTS LAURIE MISS</t>
  </si>
  <si>
    <t>Leah Speciale FNP</t>
  </si>
  <si>
    <t>E0340306</t>
  </si>
  <si>
    <t>SPECIALE LEAH D</t>
  </si>
  <si>
    <t>SPECIALE LEAH MRS.</t>
  </si>
  <si>
    <t>3670 S BENZING RD</t>
  </si>
  <si>
    <t>Linda Miller NP</t>
  </si>
  <si>
    <t>E0108732</t>
  </si>
  <si>
    <t>MILLER LINDA MARIE</t>
  </si>
  <si>
    <t>MILLER LINDA MRS.</t>
  </si>
  <si>
    <t>832 WALDEN AVE</t>
  </si>
  <si>
    <t>LINDA SMITH NP</t>
  </si>
  <si>
    <t>E0151802</t>
  </si>
  <si>
    <t>SMITH LINDA A NP</t>
  </si>
  <si>
    <t>Linda Stockmeyer NP</t>
  </si>
  <si>
    <t>E0049555</t>
  </si>
  <si>
    <t>STOCKMEYER LINDA M</t>
  </si>
  <si>
    <t>STOCKMEYER LINDA MS.</t>
  </si>
  <si>
    <t>Lindsay Guzzetta PA</t>
  </si>
  <si>
    <t>Lindsay Mandrino PA</t>
  </si>
  <si>
    <t>E0326679</t>
  </si>
  <si>
    <t>MANDRINO LINDSAY MARIE</t>
  </si>
  <si>
    <t>MANDRINO LINDSAY</t>
  </si>
  <si>
    <t>5320 MILITARY RD STE 101</t>
  </si>
  <si>
    <t>Lisa Domagala PA</t>
  </si>
  <si>
    <t>E0057197</t>
  </si>
  <si>
    <t>DOMAGALA LISA M RPA</t>
  </si>
  <si>
    <t>DOMAGALA LISA</t>
  </si>
  <si>
    <t>Lisa Raymond PA</t>
  </si>
  <si>
    <t>E0288919</t>
  </si>
  <si>
    <t>RAYMOND LISA A</t>
  </si>
  <si>
    <t>WALTER LISA</t>
  </si>
  <si>
    <t>WALTER LISA ANN</t>
  </si>
  <si>
    <t>117 FOOTE AVE STE 100</t>
  </si>
  <si>
    <t>Thomas S. Branigan MD</t>
  </si>
  <si>
    <t>E0239723</t>
  </si>
  <si>
    <t>BRANIGAN THOMAS            MD</t>
  </si>
  <si>
    <t>(716) 688-2564</t>
  </si>
  <si>
    <t>branig4@aol.com</t>
  </si>
  <si>
    <t>BRANIGAN THOMAS DR.</t>
  </si>
  <si>
    <t>BRANIGAN THOMAS SIDNEY</t>
  </si>
  <si>
    <t>Thomas Schenk MD</t>
  </si>
  <si>
    <t>Thomas Smith Jr MD</t>
  </si>
  <si>
    <t>E0152059</t>
  </si>
  <si>
    <t>SMITH THOMAS P JR MD</t>
  </si>
  <si>
    <t>Sarah Farrell</t>
  </si>
  <si>
    <t>(716) 674-8502</t>
  </si>
  <si>
    <t>sfarrell@southtownscardiology.com</t>
  </si>
  <si>
    <t>SOUTHTOWNS CARDIO PC</t>
  </si>
  <si>
    <t>Thomas Summers MD</t>
  </si>
  <si>
    <t>E0152195</t>
  </si>
  <si>
    <t>SUMMERS THOMAS A MD</t>
  </si>
  <si>
    <t>Nancy DeMaria</t>
  </si>
  <si>
    <t>(716) 631-2500</t>
  </si>
  <si>
    <t>ndemaria@windsongradiology.com</t>
  </si>
  <si>
    <t>SUMMERS THOMAS DR.</t>
  </si>
  <si>
    <t>Thomas Westner MD</t>
  </si>
  <si>
    <t>Tiffany Genewick MD</t>
  </si>
  <si>
    <t>Lisa Schneider</t>
  </si>
  <si>
    <t>(716) 668-1902</t>
  </si>
  <si>
    <t>tgenewick@verizon.net</t>
  </si>
  <si>
    <t>Timothy Adams MD</t>
  </si>
  <si>
    <t>Anne Augustyn</t>
  </si>
  <si>
    <t>aadelsurggrp@roadrunner.com</t>
  </si>
  <si>
    <t>Timothy Dyster MD</t>
  </si>
  <si>
    <t>E0178832</t>
  </si>
  <si>
    <t>DYSTER TIMOTHY G MD</t>
  </si>
  <si>
    <t>Maureen Mascellino</t>
  </si>
  <si>
    <t>(716) 298-2356</t>
  </si>
  <si>
    <t>maureenm.ipb@gmail.com</t>
  </si>
  <si>
    <t>DYSTER TIMOTHY</t>
  </si>
  <si>
    <t>MOUNT ST MARY'S HOSP</t>
  </si>
  <si>
    <t>Timothy F. Gabryel MD</t>
  </si>
  <si>
    <t>E0115773</t>
  </si>
  <si>
    <t>GABRYEL TIMOTHY F</t>
  </si>
  <si>
    <t>GABRYEL TIMOTHY DR.</t>
  </si>
  <si>
    <t>1900 RIDGE RD STE 130</t>
  </si>
  <si>
    <t>Cheng Shung Fu MD</t>
  </si>
  <si>
    <t>E0240480</t>
  </si>
  <si>
    <t>FU CHENG SHUNG PC          MD</t>
  </si>
  <si>
    <t>Patricia Sundberg</t>
  </si>
  <si>
    <t>(716) 633-0541</t>
  </si>
  <si>
    <t>psund4@yahoo.com</t>
  </si>
  <si>
    <t>FU CHENG DR.</t>
  </si>
  <si>
    <t>FU CHENG SHUNG</t>
  </si>
  <si>
    <t>Child &amp; Adolescent Treatment Services</t>
  </si>
  <si>
    <t>Bonnie Glazer</t>
  </si>
  <si>
    <t>blglazer@catswny.org</t>
  </si>
  <si>
    <t>Niagara University</t>
  </si>
  <si>
    <t>Frances Crosby, PhD</t>
  </si>
  <si>
    <t>(716) 286-8155</t>
  </si>
  <si>
    <t>fcrosby@niagara.edu</t>
  </si>
  <si>
    <t>5795 Lewiston Road</t>
  </si>
  <si>
    <t>Niagara Univ</t>
  </si>
  <si>
    <t>Nicholas Cromwell MD</t>
  </si>
  <si>
    <t>E0123137</t>
  </si>
  <si>
    <t>CROMWELL NICHOLAS L MD</t>
  </si>
  <si>
    <t>Jeanie O'Hara</t>
  </si>
  <si>
    <t>(716) 828-3520</t>
  </si>
  <si>
    <t>jlohara@chsbuffalo.org</t>
  </si>
  <si>
    <t>CROMWELL NICHOLAS</t>
  </si>
  <si>
    <t>Nicholas Naples DO</t>
  </si>
  <si>
    <t>E0162176</t>
  </si>
  <si>
    <t>NAPLES NICHOLAS DO</t>
  </si>
  <si>
    <t>nnaples1@gmail.com</t>
  </si>
  <si>
    <t>NAPLES NICHOLAS DR.</t>
  </si>
  <si>
    <t>Nicholas Violante DO</t>
  </si>
  <si>
    <t>E0340040</t>
  </si>
  <si>
    <t>VIOLANTE NICHOLAS</t>
  </si>
  <si>
    <t>VIOLANTE NICHOLAS J</t>
  </si>
  <si>
    <t>Nicolas Saikali MD</t>
  </si>
  <si>
    <t>Michelle Marzolino</t>
  </si>
  <si>
    <t>mmarzolino@dentinstitute.com</t>
  </si>
  <si>
    <t>Nicole DeLuca MD</t>
  </si>
  <si>
    <t>E0004535</t>
  </si>
  <si>
    <t>DELUCA NICOLE</t>
  </si>
  <si>
    <t>Sam Guida</t>
  </si>
  <si>
    <t>sguida@chsbuffalo.org</t>
  </si>
  <si>
    <t>Nikolaos Botsoglou MD</t>
  </si>
  <si>
    <t>Jean Botsoglou</t>
  </si>
  <si>
    <t>jeanbotsoglou@hotmail.com</t>
  </si>
  <si>
    <t>Nirisha Kalakada MD</t>
  </si>
  <si>
    <t>E0325458</t>
  </si>
  <si>
    <t>KALAKADA NIRISHA</t>
  </si>
  <si>
    <t>Patricia Parysek NP</t>
  </si>
  <si>
    <t>E0049566</t>
  </si>
  <si>
    <t>PARYSEK PATRICIA M</t>
  </si>
  <si>
    <t>PARYSEK PATRICIA</t>
  </si>
  <si>
    <t>PARYSEK PATRICIA MARY</t>
  </si>
  <si>
    <t>600 HARLEM RD</t>
  </si>
  <si>
    <t>Patricia Wagner NP</t>
  </si>
  <si>
    <t>E0362916</t>
  </si>
  <si>
    <t>WAGNER PATRICIA A</t>
  </si>
  <si>
    <t>WAGNER PATRICIA MRS.</t>
  </si>
  <si>
    <t>Patrick George PA</t>
  </si>
  <si>
    <t>E0094346</t>
  </si>
  <si>
    <t>GEORGE PATRICK LEO RPA</t>
  </si>
  <si>
    <t>GEORGE PATRICK</t>
  </si>
  <si>
    <t>paula zagrobelny NP</t>
  </si>
  <si>
    <t>E0065530</t>
  </si>
  <si>
    <t>ZAGROBELNY PAULA H</t>
  </si>
  <si>
    <t>ZAGROBELNY PAULA</t>
  </si>
  <si>
    <t>Peter Coggiola NP</t>
  </si>
  <si>
    <t>Philip Ostrowski PA</t>
  </si>
  <si>
    <t>E0119615</t>
  </si>
  <si>
    <t>OSTROWSKI PHILIP MARTIN</t>
  </si>
  <si>
    <t>OSTROWSKI PHILIP MR.</t>
  </si>
  <si>
    <t>OSTROWSKI PHILIP MARTIN RPA</t>
  </si>
  <si>
    <t>Rachel Liberati NP</t>
  </si>
  <si>
    <t>E0325520</t>
  </si>
  <si>
    <t>LIBERATI RACHEL</t>
  </si>
  <si>
    <t>LIBERATI RACHEL ELISE</t>
  </si>
  <si>
    <t>640 ELLICOTT ST</t>
  </si>
  <si>
    <t>Ricardo Melendez NP</t>
  </si>
  <si>
    <t>ROBYN LOEHFELM PA</t>
  </si>
  <si>
    <t>Ryann Taylor NP</t>
  </si>
  <si>
    <t>E0306099</t>
  </si>
  <si>
    <t>TAYLOR RYANN ILLIG</t>
  </si>
  <si>
    <t>TAYLOR RYANN MRS.</t>
  </si>
  <si>
    <t>20 LOSSON RD STE 105</t>
  </si>
  <si>
    <t>SARA BURGIO NP</t>
  </si>
  <si>
    <t>E0057226</t>
  </si>
  <si>
    <t>BURGIO SARA M</t>
  </si>
  <si>
    <t>BURGIO SARA MS.</t>
  </si>
  <si>
    <t>Sara Clouden PA</t>
  </si>
  <si>
    <t>E0385449</t>
  </si>
  <si>
    <t>SWARTZ AIMEE JEAN</t>
  </si>
  <si>
    <t>SWARTZ AIMEE MS.</t>
  </si>
  <si>
    <t>Sara Nash PA</t>
  </si>
  <si>
    <t>E0007016</t>
  </si>
  <si>
    <t>SARA NASH</t>
  </si>
  <si>
    <t>NASH SARA MRS.</t>
  </si>
  <si>
    <t>NASH SARA ANN</t>
  </si>
  <si>
    <t>Sarah Andrews PA</t>
  </si>
  <si>
    <t>Sarah Cleveland PA</t>
  </si>
  <si>
    <t>E0397709</t>
  </si>
  <si>
    <t>CLEVELAND SARAH SHEEHAN</t>
  </si>
  <si>
    <t>CLEVELAND SARAH MS.</t>
  </si>
  <si>
    <t>Cattaraugus Rehababiliation Ctr Day</t>
  </si>
  <si>
    <t>Catt Rehab Center Inc HCBS</t>
  </si>
  <si>
    <t>REHAB CTR CATTARAUGUS CHILDREN</t>
  </si>
  <si>
    <t>E0200718</t>
  </si>
  <si>
    <t>REHAB CTR CATTARAUGUS CHILDRE</t>
  </si>
  <si>
    <t>CHILDRENS ICF</t>
  </si>
  <si>
    <t>REHAB CTR CATTARAUGUS ADULT</t>
  </si>
  <si>
    <t>E0178291</t>
  </si>
  <si>
    <t>ADULT ICF</t>
  </si>
  <si>
    <t>Cattaraugus Rehabilitation Center I</t>
  </si>
  <si>
    <t>Cattaraugus Rehabilitation Ctr NHTD</t>
  </si>
  <si>
    <t>CATTARAUGUS CO ARC MR</t>
  </si>
  <si>
    <t>E0177218</t>
  </si>
  <si>
    <t>VOL TERM 030100</t>
  </si>
  <si>
    <t>Cara M. Fininzio DO</t>
  </si>
  <si>
    <t>E0313049</t>
  </si>
  <si>
    <t>FININZIO CARA</t>
  </si>
  <si>
    <t>FININZIO CARA DR.</t>
  </si>
  <si>
    <t>Cardiovascular Group</t>
  </si>
  <si>
    <t>E0426375</t>
  </si>
  <si>
    <t>MERCY HOSPITAL OF BUFFALO</t>
  </si>
  <si>
    <t>Carl A. Todoro MD</t>
  </si>
  <si>
    <t>E0238163</t>
  </si>
  <si>
    <t>TODORO CARL A              MD</t>
  </si>
  <si>
    <t>Deborah Davis</t>
  </si>
  <si>
    <t>(716) 649-8300</t>
  </si>
  <si>
    <t>ddavis@roadrunner.com</t>
  </si>
  <si>
    <t>TODORO CARL</t>
  </si>
  <si>
    <t>4001 LEGION DR</t>
  </si>
  <si>
    <t>Carl Roth</t>
  </si>
  <si>
    <t>Carlo M Perfetto MD</t>
  </si>
  <si>
    <t>Laura Cabibi</t>
  </si>
  <si>
    <t>lcabibi@wnyurologysouth.com</t>
  </si>
  <si>
    <t>Carlos Martinez MD</t>
  </si>
  <si>
    <t>E0196227</t>
  </si>
  <si>
    <t>MARTINEZ CARLOS L          MD</t>
  </si>
  <si>
    <t>Dana Martinez</t>
  </si>
  <si>
    <t>(716) 668-6146</t>
  </si>
  <si>
    <t>danamarie136@aol.com</t>
  </si>
  <si>
    <t>MARTINEZ CARLOS L MD</t>
  </si>
  <si>
    <t>SIS OF CHARITY HOSP</t>
  </si>
  <si>
    <t>Carlos Santos MD</t>
  </si>
  <si>
    <t>E0200807</t>
  </si>
  <si>
    <t>SANTOS CARLOS MD</t>
  </si>
  <si>
    <t>SANTOS CARLOS DR.</t>
  </si>
  <si>
    <t>Carlson, Cynthia FNP</t>
  </si>
  <si>
    <t>E0022600</t>
  </si>
  <si>
    <t>CARLSON CYNTHIA A</t>
  </si>
  <si>
    <t>CARLSON CYNTHIA</t>
  </si>
  <si>
    <t>Carmen Alvarez MD</t>
  </si>
  <si>
    <t>Carmen M. Todoro MD</t>
  </si>
  <si>
    <t>Carola E. Bagnarello MD</t>
  </si>
  <si>
    <t>Carrie Rowan</t>
  </si>
  <si>
    <t>E0056246</t>
  </si>
  <si>
    <t>ROWAN CARRIE LYNN DO</t>
  </si>
  <si>
    <t>ROWAN CARRIE</t>
  </si>
  <si>
    <t>Cary Vastola DO</t>
  </si>
  <si>
    <t>E0115771</t>
  </si>
  <si>
    <t>VASTOLA CARY</t>
  </si>
  <si>
    <t>VASTOLA CARY DR.</t>
  </si>
  <si>
    <t>Catalina Ionita MD</t>
  </si>
  <si>
    <t>E0027061</t>
  </si>
  <si>
    <t>IONITA CATALINA CODRUTA MD</t>
  </si>
  <si>
    <t>Amanda Kelly</t>
  </si>
  <si>
    <t>(716) 828-3123</t>
  </si>
  <si>
    <t>akelly2@chsbuffalo.org</t>
  </si>
  <si>
    <t>IONITA CATALINA</t>
  </si>
  <si>
    <t>Catherine Falkner MD</t>
  </si>
  <si>
    <t>Catherine Powers</t>
  </si>
  <si>
    <t>E0036370</t>
  </si>
  <si>
    <t>POWERS CATHERINE ELAINE</t>
  </si>
  <si>
    <t>POWERS CATHERINE</t>
  </si>
  <si>
    <t>Catherine Tota-Thurn DO</t>
  </si>
  <si>
    <t>E0101835</t>
  </si>
  <si>
    <t>TOTA-THURN CATHERINE DO</t>
  </si>
  <si>
    <t>TOTA-THURN CATHERINE DR.</t>
  </si>
  <si>
    <t>AMHERST FAMILY HLTH</t>
  </si>
  <si>
    <t>Garrison,Tracy</t>
  </si>
  <si>
    <t>Gill, Donna</t>
  </si>
  <si>
    <t>Godzala, Michael</t>
  </si>
  <si>
    <t>Griffing, Cindy</t>
  </si>
  <si>
    <t>Gutowski, Julia</t>
  </si>
  <si>
    <t>Hannon, Maureen</t>
  </si>
  <si>
    <t>Hanson, Michael</t>
  </si>
  <si>
    <t>Hejna, Temperance</t>
  </si>
  <si>
    <t>Holler-Kennedy, Gail</t>
  </si>
  <si>
    <t>Huntley, Gary</t>
  </si>
  <si>
    <t>Jafari, Katherine</t>
  </si>
  <si>
    <t>Jaimes, Christine</t>
  </si>
  <si>
    <t>Kashin, Jeffrey</t>
  </si>
  <si>
    <t>Kibler, Mitchell</t>
  </si>
  <si>
    <t>Koch, Shannon</t>
  </si>
  <si>
    <t>Kozlowski, Sarah</t>
  </si>
  <si>
    <t>Latona, Marlene</t>
  </si>
  <si>
    <t>Lupkin, Ivar</t>
  </si>
  <si>
    <t>Lobuzzetta, Mindi</t>
  </si>
  <si>
    <t>McCullough, Kecia</t>
  </si>
  <si>
    <t>Metzger, Mark</t>
  </si>
  <si>
    <t>Mostert, Marcelle</t>
  </si>
  <si>
    <t>Albion Clinic</t>
  </si>
  <si>
    <t>Delores Horvath, CEO</t>
  </si>
  <si>
    <t>(585) 798-8100</t>
  </si>
  <si>
    <t>dhorvath@medinamemorial.org</t>
  </si>
  <si>
    <t>14789 ROUTE 31</t>
  </si>
  <si>
    <t>Megan Farrell MD</t>
  </si>
  <si>
    <t>mfarrell@palliativecare.org</t>
  </si>
  <si>
    <t>Timothy G. Murphy DO</t>
  </si>
  <si>
    <t>Sharon Dickinson</t>
  </si>
  <si>
    <t>(716) 828-2437</t>
  </si>
  <si>
    <t>sdickins@chsbuffalo.org</t>
  </si>
  <si>
    <t>Timothy Gorman</t>
  </si>
  <si>
    <t>Timothy Kitchen</t>
  </si>
  <si>
    <t>Timothy McGrath MD</t>
  </si>
  <si>
    <t>Timothy Rasmusson MD</t>
  </si>
  <si>
    <t>Timothy Siepel MD</t>
  </si>
  <si>
    <t>E0237016</t>
  </si>
  <si>
    <t>SIEPEL TIMOTHY V MD PC</t>
  </si>
  <si>
    <t>SIEPEL TIMOTHY DR.</t>
  </si>
  <si>
    <t>SIEPEL TIMOTHY VINCENT   MD</t>
  </si>
  <si>
    <t>8912 HEBDON RD</t>
  </si>
  <si>
    <t>WEST VALLEY</t>
  </si>
  <si>
    <t>Timothy Wacker MD</t>
  </si>
  <si>
    <t>Todd Lorenc MD</t>
  </si>
  <si>
    <t>E0350439</t>
  </si>
  <si>
    <t>LORENC TODD</t>
  </si>
  <si>
    <t>LORENC TODD DR.</t>
  </si>
  <si>
    <t>LORENC TODD M</t>
  </si>
  <si>
    <t>Todd Orszulak DO</t>
  </si>
  <si>
    <t>E0072786</t>
  </si>
  <si>
    <t>ORSZULAK TODD MATTHEW MD</t>
  </si>
  <si>
    <t>Adrienne Orszulak</t>
  </si>
  <si>
    <t>(716) 236-7880</t>
  </si>
  <si>
    <t>adrienneorszulak@aol.com</t>
  </si>
  <si>
    <t>ORSZULAK TODD</t>
  </si>
  <si>
    <t>Tomas Holmlund MD</t>
  </si>
  <si>
    <t>Toni Murphy DO</t>
  </si>
  <si>
    <t>E0142571</t>
  </si>
  <si>
    <t>SPINARIS TONI M DO</t>
  </si>
  <si>
    <t>Pamela Larivey</t>
  </si>
  <si>
    <t>buffendo@aol.com</t>
  </si>
  <si>
    <t>MURPHY TONI</t>
  </si>
  <si>
    <t>MURPHY TONI M DO</t>
  </si>
  <si>
    <t>Travis Mastroianni DO</t>
  </si>
  <si>
    <t>E0313834</t>
  </si>
  <si>
    <t>MASTROIANNI TRAVIS A DO</t>
  </si>
  <si>
    <t>mastrota@yahoo.com</t>
  </si>
  <si>
    <t>MASTROIANNI TRAVIS DR.</t>
  </si>
  <si>
    <t>16 HOSPITAL RD</t>
  </si>
  <si>
    <t>PLYMOUTH</t>
  </si>
  <si>
    <t>Trisha Lindstrom</t>
  </si>
  <si>
    <t>E0031109</t>
  </si>
  <si>
    <t>LINDSTROM TRISHA M NP</t>
  </si>
  <si>
    <t>LINDSTROM TRISHA</t>
  </si>
  <si>
    <t>Trudy Baker MD</t>
  </si>
  <si>
    <t>mai.shaker@ccsoncology.com</t>
  </si>
  <si>
    <t>Uebelhoer, Sarah PA-C</t>
  </si>
  <si>
    <t>E0328500</t>
  </si>
  <si>
    <t>FERRI SARAH ANN</t>
  </si>
  <si>
    <t>UEBELHOER SARAH</t>
  </si>
  <si>
    <t>UEBELHOER SARAH ANN</t>
  </si>
  <si>
    <t>95 E CHAUTAUQUA ST</t>
  </si>
  <si>
    <t>Univera Health Care</t>
  </si>
  <si>
    <t>Richard Vienne, DO</t>
  </si>
  <si>
    <t>(716) 857-6240</t>
  </si>
  <si>
    <t>richard.vienne@univerahealthcare.org</t>
  </si>
  <si>
    <t>205 Park Club Lane</t>
  </si>
  <si>
    <t>Upstate Pharmacy, Ltd</t>
  </si>
  <si>
    <t>E0117945</t>
  </si>
  <si>
    <t>UPSTATE PHARMACY LTD</t>
  </si>
  <si>
    <t>Maureen Kellar</t>
  </si>
  <si>
    <t>(716) 675-3784</t>
  </si>
  <si>
    <t>mkellar@upstatepharmacy.com</t>
  </si>
  <si>
    <t>40 N AMERICA DR STE 100</t>
  </si>
  <si>
    <t>Usha Chopra MD</t>
  </si>
  <si>
    <t>E0115772</t>
  </si>
  <si>
    <t>CHOPRA USHA</t>
  </si>
  <si>
    <t>Valerie L. Burkhard MD</t>
  </si>
  <si>
    <t>vburkhard@buffalomedicalgroup.com</t>
  </si>
  <si>
    <t>Venkata Jupudy MD</t>
  </si>
  <si>
    <t>E0043533</t>
  </si>
  <si>
    <t>JUPUDY VENKATA R</t>
  </si>
  <si>
    <t>Lynn Grant</t>
  </si>
  <si>
    <t>(716) 937-3255</t>
  </si>
  <si>
    <t>aldenmedicalgroup@yahoo.com</t>
  </si>
  <si>
    <t>JUPUDY VENKATA DR.</t>
  </si>
  <si>
    <t>12845 BROADWAY ST</t>
  </si>
  <si>
    <t>Venkateswara Kolli MD</t>
  </si>
  <si>
    <t>Christin Kolli</t>
  </si>
  <si>
    <t>venkatkollimd@aol.com</t>
  </si>
  <si>
    <t>Sarah O'Mara PA-C</t>
  </si>
  <si>
    <t>Sarah Rizvi PA</t>
  </si>
  <si>
    <t>E0295394</t>
  </si>
  <si>
    <t>RIZVI SARAH</t>
  </si>
  <si>
    <t>Sean Hailey NP</t>
  </si>
  <si>
    <t>E0005123</t>
  </si>
  <si>
    <t>HAILEY SEAN PATRICK</t>
  </si>
  <si>
    <t>HAILEY SEAN</t>
  </si>
  <si>
    <t>Shannon Bunch PA</t>
  </si>
  <si>
    <t>E0026137</t>
  </si>
  <si>
    <t>BUNCH SHANNON M RPA</t>
  </si>
  <si>
    <t>BUNCH SHANNON MRS.</t>
  </si>
  <si>
    <t>Sharon Ehlers NP</t>
  </si>
  <si>
    <t>E0057189</t>
  </si>
  <si>
    <t>EHLERS SHARON M</t>
  </si>
  <si>
    <t>EHLERS SHARON MS.</t>
  </si>
  <si>
    <t>EHLERS SHARON MARGARET NP</t>
  </si>
  <si>
    <t>Sharon Pesono NP</t>
  </si>
  <si>
    <t>Sharon Wittman-Klein PA</t>
  </si>
  <si>
    <t>E0083426</t>
  </si>
  <si>
    <t>WITTMAN-KLEIN SHARON RUTH RPA</t>
  </si>
  <si>
    <t>WITTMAN-KLEIN SHARON</t>
  </si>
  <si>
    <t>WITTMAN-KLEIN SHARON R</t>
  </si>
  <si>
    <t>Sheila Tober PA</t>
  </si>
  <si>
    <t>E0333694</t>
  </si>
  <si>
    <t>TOBER SHEILA NOVELLI</t>
  </si>
  <si>
    <t>TOBER SHEILA</t>
  </si>
  <si>
    <t>STACIE CIFRANICK PA</t>
  </si>
  <si>
    <t>E0080123</t>
  </si>
  <si>
    <t>CIFRANICK STACIE ANN RPA</t>
  </si>
  <si>
    <t>CIFRANICK STACIE MRS.</t>
  </si>
  <si>
    <t>RANCO MANAGEMENT INC</t>
  </si>
  <si>
    <t>Stacie Wier NP</t>
  </si>
  <si>
    <t>stephanie kirsch pa</t>
  </si>
  <si>
    <t>E0370086</t>
  </si>
  <si>
    <t>KIRSCH STEPHANIE ANN</t>
  </si>
  <si>
    <t>KIRSCH STEPHANIE</t>
  </si>
  <si>
    <t>STEPHEN REINHART RPAC</t>
  </si>
  <si>
    <t>E0060712</t>
  </si>
  <si>
    <t>REINHART STEPHEN G RPA</t>
  </si>
  <si>
    <t>REINHART STEPHEN MR.</t>
  </si>
  <si>
    <t>REINHART STEPHEN GARY</t>
  </si>
  <si>
    <t>3884 BROADWAY ST</t>
  </si>
  <si>
    <t>Steven Hodkin PA</t>
  </si>
  <si>
    <t>E0065688</t>
  </si>
  <si>
    <t>HODKIN STEVEN H</t>
  </si>
  <si>
    <t>HODKIN STEVEN</t>
  </si>
  <si>
    <t>2291 UNION RD</t>
  </si>
  <si>
    <t>Dhiren K. Shah MD</t>
  </si>
  <si>
    <t>Diana Pomakova MD</t>
  </si>
  <si>
    <t>E0303350</t>
  </si>
  <si>
    <t>POMAKOVA DIANA K</t>
  </si>
  <si>
    <t>diana_pomakova@yahoo.com</t>
  </si>
  <si>
    <t>POMAKOVA DIANA DR.</t>
  </si>
  <si>
    <t>3101 9TH ST</t>
  </si>
  <si>
    <t>Diana Vakante-Jankovic MD</t>
  </si>
  <si>
    <t>E0091807</t>
  </si>
  <si>
    <t>VAKANTE-JANKOVIC DIANA MD</t>
  </si>
  <si>
    <t>Norine Ferguson</t>
  </si>
  <si>
    <t>fergusonn@southwesternmedical.com</t>
  </si>
  <si>
    <t>VAKANTE-JANKOVIC DIANA</t>
  </si>
  <si>
    <t>3671 SOUTHWESTERN BLVD</t>
  </si>
  <si>
    <t>Diane J. Sutter MD</t>
  </si>
  <si>
    <t>Carrie Willitt</t>
  </si>
  <si>
    <t>cwillitt@accessiumbc.com</t>
  </si>
  <si>
    <t>Diane Mueller</t>
  </si>
  <si>
    <t>E0164093</t>
  </si>
  <si>
    <t>MUELLER DIANE L MD</t>
  </si>
  <si>
    <t>MUELLER DIANE</t>
  </si>
  <si>
    <t>Diane Sanfilippo MD</t>
  </si>
  <si>
    <t>Roberta Phillips</t>
  </si>
  <si>
    <t>roberta@dmsmd.com</t>
  </si>
  <si>
    <t>Dilara Samadi MD</t>
  </si>
  <si>
    <t>(716) 630-2507</t>
  </si>
  <si>
    <t>dsamadi@buffalomedicalgroup.com</t>
  </si>
  <si>
    <t>Dilip Patel MD</t>
  </si>
  <si>
    <t>dilip17@juno.com</t>
  </si>
  <si>
    <t>Domonic Falsetti MD</t>
  </si>
  <si>
    <t>E0236597</t>
  </si>
  <si>
    <t>FALSETTI DOMONIC FRANK MD  PC</t>
  </si>
  <si>
    <t>(716) 285-2244</t>
  </si>
  <si>
    <t>domonicfalsetti@yahoo.com</t>
  </si>
  <si>
    <t>FALSETTI DOMONIC DR.</t>
  </si>
  <si>
    <t>723 MAIN ST</t>
  </si>
  <si>
    <t>Donald Brautigam</t>
  </si>
  <si>
    <t>Donald Gullickson DO</t>
  </si>
  <si>
    <t>E0170356</t>
  </si>
  <si>
    <t>GULLICKSON DONALD E DO</t>
  </si>
  <si>
    <t>Ann Gerlach</t>
  </si>
  <si>
    <t>(716) 874-2150</t>
  </si>
  <si>
    <t>agerlach@northtownsmedical.com</t>
  </si>
  <si>
    <t>GULLICKSON DONALD EVER II</t>
  </si>
  <si>
    <t>MEADOWBROOK SQUARE</t>
  </si>
  <si>
    <t>Donald Michael Slate MD</t>
  </si>
  <si>
    <t>E0095334</t>
  </si>
  <si>
    <t>SLATE DONALD MICHAEL II MD</t>
  </si>
  <si>
    <t>SLATE DONALD</t>
  </si>
  <si>
    <t>BUFFALO PATHOLOGY</t>
  </si>
  <si>
    <t>Donalyn Franze</t>
  </si>
  <si>
    <t>E0103554</t>
  </si>
  <si>
    <t>FRANZE DONALYN</t>
  </si>
  <si>
    <t>Dorene Zerfas MD</t>
  </si>
  <si>
    <t>E0353483</t>
  </si>
  <si>
    <t>ZERFAS DORENE KAY</t>
  </si>
  <si>
    <t>ZERFAS DORENE DR.</t>
  </si>
  <si>
    <t>Dorothy Trubish MD</t>
  </si>
  <si>
    <t>E0142790</t>
  </si>
  <si>
    <t>TRUBISH DOROTHY LUKAWSKI</t>
  </si>
  <si>
    <t>TRUBISH DOROTHY</t>
  </si>
  <si>
    <t>Douglas Hage MD</t>
  </si>
  <si>
    <t>Marie Stlaurent</t>
  </si>
  <si>
    <t>(716) 947-4545</t>
  </si>
  <si>
    <t>mstlaurent@burnshage.com</t>
  </si>
  <si>
    <t>Douglas Hickox MD</t>
  </si>
  <si>
    <t>E0118386</t>
  </si>
  <si>
    <t>HICKOX DOUGLAS JAMES</t>
  </si>
  <si>
    <t>HICKOX DOUGLAS</t>
  </si>
  <si>
    <t>CATTARAUGUS COUNTY NYSARC</t>
  </si>
  <si>
    <t>NYSARC INC CATTARAUGUS COUNTY CHAPTER</t>
  </si>
  <si>
    <t>NYS ARC INC CATTARAUG HCBS 2</t>
  </si>
  <si>
    <t>E0126377</t>
  </si>
  <si>
    <t>1439 BUFFALO ST # VAB0019</t>
  </si>
  <si>
    <t>NYS ARC INC CATTARAUG HCBS 3</t>
  </si>
  <si>
    <t>E0126375</t>
  </si>
  <si>
    <t>1439 BUFFALO ST # VAF0204</t>
  </si>
  <si>
    <t>NYS ARC INC CATTARAUG HCBS 4</t>
  </si>
  <si>
    <t>E0126373</t>
  </si>
  <si>
    <t>1439 BUFFALO ST # VAF0223</t>
  </si>
  <si>
    <t>NYS ARC INC CATTARAUG HCBS 7</t>
  </si>
  <si>
    <t>E0125390</t>
  </si>
  <si>
    <t>1439 BUFFALO ST # VVY1224</t>
  </si>
  <si>
    <t>NYSARC INC., Cattaraugus Co SMP</t>
  </si>
  <si>
    <t>E0082231</t>
  </si>
  <si>
    <t>NYSARC INC CATTARAUGUS CO SMP</t>
  </si>
  <si>
    <t>Cattaraugus Co NYSARC SPT</t>
  </si>
  <si>
    <t>Cattaraugus Co NYSARC SPV</t>
  </si>
  <si>
    <t>Cattaraugus Co NYSARC RSP</t>
  </si>
  <si>
    <t>NYS ARC CATTARAUG DAY</t>
  </si>
  <si>
    <t>Frank A. Ferraro</t>
  </si>
  <si>
    <t>E0227567</t>
  </si>
  <si>
    <t>FERRARO FRANK A            MD</t>
  </si>
  <si>
    <t>FERRARO FRANK DR.</t>
  </si>
  <si>
    <t>FERRARO FRANK A MD</t>
  </si>
  <si>
    <t>Marylou Scholl</t>
  </si>
  <si>
    <t>E0072329</t>
  </si>
  <si>
    <t>POSLUSZNY MARYLOU CHRISTINE</t>
  </si>
  <si>
    <t>SCHOLL MARYLOU</t>
  </si>
  <si>
    <t>SCHOLL MARYLOU CHRISTINE</t>
  </si>
  <si>
    <t>Kevin Berman</t>
  </si>
  <si>
    <t>E0383187</t>
  </si>
  <si>
    <t>BERMAN KEVIN</t>
  </si>
  <si>
    <t>BERMAN KEVIN SAMUEL</t>
  </si>
  <si>
    <t>29 RIDGEWOOD ROAD</t>
  </si>
  <si>
    <t>SPINGFIELD</t>
  </si>
  <si>
    <t>Mekdess Abebe MD</t>
  </si>
  <si>
    <t>Meliton Silva MD</t>
  </si>
  <si>
    <t>silvadaddy@gmail.com</t>
  </si>
  <si>
    <t>Mercy Home Care dba Niagara Home Makers</t>
  </si>
  <si>
    <t>E0013447</t>
  </si>
  <si>
    <t>NIAGARA HOMEMAKER SERVICES INC</t>
  </si>
  <si>
    <t>NIAGARA HOMEMAKER SERVICES, INC</t>
  </si>
  <si>
    <t>2875 UNION RD STE 14</t>
  </si>
  <si>
    <t>Mercy Hospital of Buffalo</t>
  </si>
  <si>
    <t>E0263738</t>
  </si>
  <si>
    <t>Mercy Hospitalist Group</t>
  </si>
  <si>
    <t>E0323421</t>
  </si>
  <si>
    <t>MERCY HOSPITALIST GROUP</t>
  </si>
  <si>
    <t>Mercy Skilled Nursing Facility</t>
  </si>
  <si>
    <t>E0252000</t>
  </si>
  <si>
    <t>MERCY HOSP SNF</t>
  </si>
  <si>
    <t>MERCY HOSPITAL SNF</t>
  </si>
  <si>
    <t>Michael A Pell MD</t>
  </si>
  <si>
    <t>(716) 840-3385</t>
  </si>
  <si>
    <t>docpell@aol.com</t>
  </si>
  <si>
    <t>Michael A. Meyer MD</t>
  </si>
  <si>
    <t>E0089303</t>
  </si>
  <si>
    <t>MEYER MICHAEL A MD</t>
  </si>
  <si>
    <t>MEYER MICHAEL</t>
  </si>
  <si>
    <t>MEYER MICHAEL ANDREW</t>
  </si>
  <si>
    <t>Michael A. Vasquez MD</t>
  </si>
  <si>
    <t>Amanda Hoyle</t>
  </si>
  <si>
    <t>amandahoyle@venousinstitute.com</t>
  </si>
  <si>
    <t>Michael Aquino DPM</t>
  </si>
  <si>
    <t>Naida Laracuente</t>
  </si>
  <si>
    <t>(716) 837-1500</t>
  </si>
  <si>
    <t>footankle@roadrunner.com</t>
  </si>
  <si>
    <t>Michael Baggett MD</t>
  </si>
  <si>
    <t>Michael Banas MD</t>
  </si>
  <si>
    <t>Michael Butler DPM</t>
  </si>
  <si>
    <t>E0196423</t>
  </si>
  <si>
    <t>BUTLER MICHAEL P DPM</t>
  </si>
  <si>
    <t>BUTLER MICHAEL</t>
  </si>
  <si>
    <t>BUTLER MICHAEL PAUL</t>
  </si>
  <si>
    <t>Michael C Geraci Jr MD</t>
  </si>
  <si>
    <t>E0195956</t>
  </si>
  <si>
    <t>GERACI MICHAEL CHARLES JR  MD</t>
  </si>
  <si>
    <t>(716) 247-5320</t>
  </si>
  <si>
    <t>dgeraci@gmail.com</t>
  </si>
  <si>
    <t>GERACI MICHAEL DR.</t>
  </si>
  <si>
    <t>GERACI MICHAEL CHARLES JR MD</t>
  </si>
  <si>
    <t>Michael C. Moore MD</t>
  </si>
  <si>
    <t>Mary McGowan</t>
  </si>
  <si>
    <t>1014mmcgowan58@gmail.com</t>
  </si>
  <si>
    <t>Michael C. Snyderman MD</t>
  </si>
  <si>
    <t>E0231727</t>
  </si>
  <si>
    <t>SNYDERMAN MICHAEL C        MD</t>
  </si>
  <si>
    <t>(716) 824-5588</t>
  </si>
  <si>
    <t>MCSnyde@aol.com</t>
  </si>
  <si>
    <t>SNYDERMAN MICHAEL DR.</t>
  </si>
  <si>
    <t>Michael Cicchetti MD</t>
  </si>
  <si>
    <t>Michael D. Calabrese MD</t>
  </si>
  <si>
    <t>Lisa Achtziger</t>
  </si>
  <si>
    <t>office.care@verizon.net</t>
  </si>
  <si>
    <t>Michael D. DiBella MD</t>
  </si>
  <si>
    <t>(716) 828-2389</t>
  </si>
  <si>
    <t>mdibella6@yahoo.com</t>
  </si>
  <si>
    <t>Michael Duff MD</t>
  </si>
  <si>
    <t>Michael F Pusatier DO</t>
  </si>
  <si>
    <t>E0085084</t>
  </si>
  <si>
    <t>PUSATIER MICHAEL FRANK MD</t>
  </si>
  <si>
    <t>(716) 630-1465</t>
  </si>
  <si>
    <t>mpusatier@buffalomedicalgroup.com</t>
  </si>
  <si>
    <t>PUSATIER MICHAEL DR.</t>
  </si>
  <si>
    <t>3849 DELAWARE AVE</t>
  </si>
  <si>
    <t>Michael Ferguson MD</t>
  </si>
  <si>
    <t>Michael Grisanti MD</t>
  </si>
  <si>
    <t>E0183435</t>
  </si>
  <si>
    <t>GRISANTI MICHAEL W MD PC</t>
  </si>
  <si>
    <t>GRISANTI MICHAEL</t>
  </si>
  <si>
    <t>GRISANTI MICHAEL W</t>
  </si>
  <si>
    <t>3065 SOUTHWESTERN BLVD STE 109</t>
  </si>
  <si>
    <t>Michael Haar MD</t>
  </si>
  <si>
    <t>Linda Gallitto</t>
  </si>
  <si>
    <t>delawaremedicalgroup@yahoo.com</t>
  </si>
  <si>
    <t>Michael Hanzly DPM</t>
  </si>
  <si>
    <t>E0232718</t>
  </si>
  <si>
    <t>HANZLY MICHAEL DPM</t>
  </si>
  <si>
    <t>Mary Hanzly</t>
  </si>
  <si>
    <t>(716) 823-0049</t>
  </si>
  <si>
    <t>hanzlydpm@aol.com</t>
  </si>
  <si>
    <t>HANZLY MICHAEL DR.</t>
  </si>
  <si>
    <t>2267 SENECA ST</t>
  </si>
  <si>
    <t>Mrgich, Glenn</t>
  </si>
  <si>
    <t>Nicosia, Bethann</t>
  </si>
  <si>
    <t>Nisbet, Patricia</t>
  </si>
  <si>
    <t>Gracie M. Lin MD</t>
  </si>
  <si>
    <t>E0165594</t>
  </si>
  <si>
    <t>LIN GRACIE MIN MEI  MD</t>
  </si>
  <si>
    <t>LIN FU GRACIE MRS.</t>
  </si>
  <si>
    <t>LIN FU GRACIE MIN-MEI</t>
  </si>
  <si>
    <t>Grant S. Golden MD</t>
  </si>
  <si>
    <t>E0174205</t>
  </si>
  <si>
    <t>GOLDEN GRANT S MD</t>
  </si>
  <si>
    <t>Patricia Winker</t>
  </si>
  <si>
    <t>(716) 633-8675</t>
  </si>
  <si>
    <t>pwinker@setonimaging.com</t>
  </si>
  <si>
    <t>GOLDEN GRANT DR.</t>
  </si>
  <si>
    <t>Gregory Adornetto DPM</t>
  </si>
  <si>
    <t>E0209991</t>
  </si>
  <si>
    <t>ADORNETTO GREGORY J</t>
  </si>
  <si>
    <t>Tina Latimore</t>
  </si>
  <si>
    <t>(716) 649-2892</t>
  </si>
  <si>
    <t>toyladyny@verizon.net</t>
  </si>
  <si>
    <t>ADORNETTO GREGORY DR.</t>
  </si>
  <si>
    <t>179 BUFFALO ST</t>
  </si>
  <si>
    <t>Gregory Castiglia MD</t>
  </si>
  <si>
    <t>Courtney Boling</t>
  </si>
  <si>
    <t>(716) 839-9402</t>
  </si>
  <si>
    <t>courtneyb@buffaloneuro.com</t>
  </si>
  <si>
    <t>Gustavo Diaz-Reyes MD</t>
  </si>
  <si>
    <t>tavit0@verizon.net</t>
  </si>
  <si>
    <t>Guy Whalen MD</t>
  </si>
  <si>
    <t>E0185834</t>
  </si>
  <si>
    <t>WHALEN GUY M MD</t>
  </si>
  <si>
    <t>WHALEN GUY</t>
  </si>
  <si>
    <t>Hanaw Adham MD</t>
  </si>
  <si>
    <t>E0015939</t>
  </si>
  <si>
    <t>ADHAM HANAW ASSAD  MD</t>
  </si>
  <si>
    <t>(716) 580-3764</t>
  </si>
  <si>
    <t>hanawadham@yahoo.com</t>
  </si>
  <si>
    <t>ADHAM HANAW</t>
  </si>
  <si>
    <t>Hani Abdel Nabi MD</t>
  </si>
  <si>
    <t>E0182226</t>
  </si>
  <si>
    <t>ABDEL-NABI HANI H MD</t>
  </si>
  <si>
    <t>Deborah Erb</t>
  </si>
  <si>
    <t>(716) 836-5500</t>
  </si>
  <si>
    <t>deberb@msn.com</t>
  </si>
  <si>
    <t>ABDEL NABI HANI</t>
  </si>
  <si>
    <t>Harriette Hogan MD</t>
  </si>
  <si>
    <t>Douglas Moreland MD</t>
  </si>
  <si>
    <t>Douglas Roberts MD</t>
  </si>
  <si>
    <t>E0238261</t>
  </si>
  <si>
    <t>ROBERTS DOUGLAS LEE MD</t>
  </si>
  <si>
    <t>ROBERTS DOUGLAS DR.</t>
  </si>
  <si>
    <t>ROBERTS DOUGLAS LEE</t>
  </si>
  <si>
    <t>D'Youville College</t>
  </si>
  <si>
    <t>Dr. Arup Sen, VP for Academic Affairs</t>
  </si>
  <si>
    <t>(716) 829-8144</t>
  </si>
  <si>
    <t>sena@dyc.edu</t>
  </si>
  <si>
    <t>320 Porter Avenue</t>
  </si>
  <si>
    <t>Eddie E. Mas MD</t>
  </si>
  <si>
    <t>(716) 823-3300</t>
  </si>
  <si>
    <t>masrocky@roadrunner.com</t>
  </si>
  <si>
    <t>Edmund Juncewicz DO</t>
  </si>
  <si>
    <t>E0353337</t>
  </si>
  <si>
    <t>JUNCEWICZ EDMUND ANDREW</t>
  </si>
  <si>
    <t>JUNCEWICZ EDMUND</t>
  </si>
  <si>
    <t>Edward Cosgrove MD</t>
  </si>
  <si>
    <t>E0124007</t>
  </si>
  <si>
    <t>COSGROVE EDWARD JOSEPH MD</t>
  </si>
  <si>
    <t>COSGROVE EDWARD</t>
  </si>
  <si>
    <t>Edward Fitzpatrick DPM</t>
  </si>
  <si>
    <t>Kristy Drabek</t>
  </si>
  <si>
    <t>kristy@podiatryaffiliates.com</t>
  </si>
  <si>
    <t>Edward K. Bartels MD</t>
  </si>
  <si>
    <t>Edward R. Niemiec MD</t>
  </si>
  <si>
    <t>Andrea Niemiec</t>
  </si>
  <si>
    <t>aniemiec@roadrunner.com</t>
  </si>
  <si>
    <t>Edward Simmons MD</t>
  </si>
  <si>
    <t>Brooke Smith</t>
  </si>
  <si>
    <t>bsmith@simmonsortho.com</t>
  </si>
  <si>
    <t>Edward Stehlik MD</t>
  </si>
  <si>
    <t>E0234941</t>
  </si>
  <si>
    <t>STEHLIK EDWARD A           MD</t>
  </si>
  <si>
    <t>STEHLIK EDWARD</t>
  </si>
  <si>
    <t>Edward Ventresca MD</t>
  </si>
  <si>
    <t>Edwin Heidelberger MD,PhD</t>
  </si>
  <si>
    <t>Eileen Reilly MD</t>
  </si>
  <si>
    <t>E0078809</t>
  </si>
  <si>
    <t>REILLY EILEEN BRIDGET MD</t>
  </si>
  <si>
    <t>ebreilly@hotmail.com</t>
  </si>
  <si>
    <t>REILLY EILEEN</t>
  </si>
  <si>
    <t>377 S UNION ST</t>
  </si>
  <si>
    <t>Nitza Ellis MD</t>
  </si>
  <si>
    <t>nellis@delawarepeds.com</t>
  </si>
  <si>
    <t>Noor Shah MD</t>
  </si>
  <si>
    <t>E0320342</t>
  </si>
  <si>
    <t>SHAH MEDICAL GROUP PC</t>
  </si>
  <si>
    <t>(716) 891-5991</t>
  </si>
  <si>
    <t>nmshah73@yahoo.com</t>
  </si>
  <si>
    <t>2695 HARLEM RD</t>
  </si>
  <si>
    <t>Norman Fiorica MD</t>
  </si>
  <si>
    <t>Theresa Winstanley</t>
  </si>
  <si>
    <t>pulmonology105@yahoo.com</t>
  </si>
  <si>
    <t>Norman Sfeir MD</t>
  </si>
  <si>
    <t>Northgate Healthcare Facility</t>
  </si>
  <si>
    <t>Odd Fellow &amp; Rebekah Rehab &amp; Healthcare Center, LLC</t>
  </si>
  <si>
    <t>Eugene Urban</t>
  </si>
  <si>
    <t>colleen@hccadvisors.com</t>
  </si>
  <si>
    <t>Ognian Pomakov MD</t>
  </si>
  <si>
    <t>Omar Kass-Hout MD</t>
  </si>
  <si>
    <t>E0368626</t>
  </si>
  <si>
    <t>KASS-HOUT OMAR</t>
  </si>
  <si>
    <t>Orville Hendricks MD</t>
  </si>
  <si>
    <t>E0115706</t>
  </si>
  <si>
    <t>HENDRICKS ORVILLE INGO MD</t>
  </si>
  <si>
    <t>Judith Kohl</t>
  </si>
  <si>
    <t>(716) 558-7727</t>
  </si>
  <si>
    <t>jkohl02@roadrunner.com</t>
  </si>
  <si>
    <t>HENDRICKS ORVILLE DR.</t>
  </si>
  <si>
    <t>Oscar Lopez MD</t>
  </si>
  <si>
    <t>oscarslopez007@hotmail.com</t>
  </si>
  <si>
    <t>Our Lady of Peace Inc.</t>
  </si>
  <si>
    <t>E0058577</t>
  </si>
  <si>
    <t>OUR LADY OF PEACE NRS CR RES</t>
  </si>
  <si>
    <t>Thomas LoStracco</t>
  </si>
  <si>
    <t>(716) 298-2900</t>
  </si>
  <si>
    <t>tom.lostracco@ladyofpeace.org</t>
  </si>
  <si>
    <t>OUR LADY OF PEACE INC.</t>
  </si>
  <si>
    <t>5285 LEWISTON RD</t>
  </si>
  <si>
    <t>Owen Moy MD</t>
  </si>
  <si>
    <t>P Jeffrey Lewis MD</t>
  </si>
  <si>
    <t>Pamela Khurana MD</t>
  </si>
  <si>
    <t>E0135633</t>
  </si>
  <si>
    <t>KHURANA PAMELA MD</t>
  </si>
  <si>
    <t>pkhurana@olv-bvs.org</t>
  </si>
  <si>
    <t>KHURANA PAMELA</t>
  </si>
  <si>
    <t>Pankaj K. Singhal MD</t>
  </si>
  <si>
    <t>Pushpa Singhal</t>
  </si>
  <si>
    <t>pgynonc@gmail.com</t>
  </si>
  <si>
    <t>Norbert Szymula</t>
  </si>
  <si>
    <t>E0238537</t>
  </si>
  <si>
    <t>SZYMULA NORBERT J          MD</t>
  </si>
  <si>
    <t>SZYMULA NORBERT DR.</t>
  </si>
  <si>
    <t>115 PROFESSIONAL PKWY</t>
  </si>
  <si>
    <t>Baljinder Singh</t>
  </si>
  <si>
    <t>Roger Rogers</t>
  </si>
  <si>
    <t>E0383336</t>
  </si>
  <si>
    <t>ROGERS ROGER</t>
  </si>
  <si>
    <t>ROGERS ROGER DR.</t>
  </si>
  <si>
    <t>David Farrugia MD</t>
  </si>
  <si>
    <t>David Fisher MD</t>
  </si>
  <si>
    <t>Tarayn or Adele .</t>
  </si>
  <si>
    <t>(716) 662-4827</t>
  </si>
  <si>
    <t>adele7595@roadrunner.com</t>
  </si>
  <si>
    <t>David Gunther MD</t>
  </si>
  <si>
    <t>E0224294</t>
  </si>
  <si>
    <t>GUNTHER DAVID E            MD</t>
  </si>
  <si>
    <t>GUNTHER DAVID</t>
  </si>
  <si>
    <t>David Hartman MD</t>
  </si>
  <si>
    <t>E0190706</t>
  </si>
  <si>
    <t>HARTMAN DAVID A MD</t>
  </si>
  <si>
    <t>Norma Meccay</t>
  </si>
  <si>
    <t>meccayn@amherstmedical.com</t>
  </si>
  <si>
    <t>HARTMAN DAVID</t>
  </si>
  <si>
    <t>HARTMAN DAVID ALAN</t>
  </si>
  <si>
    <t>BUFFALO-GENL HOSP</t>
  </si>
  <si>
    <t>David J. Durante MD</t>
  </si>
  <si>
    <t>E0115761</t>
  </si>
  <si>
    <t>DURANTE DAVID</t>
  </si>
  <si>
    <t>Judy Durante</t>
  </si>
  <si>
    <t>(716) 677-0850</t>
  </si>
  <si>
    <t>judithdurante@gmail.com</t>
  </si>
  <si>
    <t>DURANTE DAVID DR.</t>
  </si>
  <si>
    <t>DURANTE DAVID J</t>
  </si>
  <si>
    <t>565 ABBOTT RD FL 3</t>
  </si>
  <si>
    <t>David J. Serra MD</t>
  </si>
  <si>
    <t>E0070025</t>
  </si>
  <si>
    <t>SERRA DAVID JOSEPH MD</t>
  </si>
  <si>
    <t>djserra22@gmail.com</t>
  </si>
  <si>
    <t>SERRA DAVID</t>
  </si>
  <si>
    <t>David L Capaccio DO</t>
  </si>
  <si>
    <t>David Lawton MD</t>
  </si>
  <si>
    <t>E0121300</t>
  </si>
  <si>
    <t>LAWTON DAVID A JR MD</t>
  </si>
  <si>
    <t>LAWTON DAVID</t>
  </si>
  <si>
    <t>LAWTON DAVID ALLEN JR</t>
  </si>
  <si>
    <t>David Marchetti MD</t>
  </si>
  <si>
    <t>David Martinke DO</t>
  </si>
  <si>
    <t>E0146100</t>
  </si>
  <si>
    <t>MARTINKE DAVID JOHN DO</t>
  </si>
  <si>
    <t>MARTINKE DAVID DR.</t>
  </si>
  <si>
    <t>David Montesanti MD</t>
  </si>
  <si>
    <t>Sharon Bannister</t>
  </si>
  <si>
    <t>sbannister@ecvaeyecare.com</t>
  </si>
  <si>
    <t>David N. Johnson MD</t>
  </si>
  <si>
    <t>E0230347</t>
  </si>
  <si>
    <t>JOHNSON DAVID N            MD</t>
  </si>
  <si>
    <t>dnjsailor@hotmail.com</t>
  </si>
  <si>
    <t>JOHNSON DAVID</t>
  </si>
  <si>
    <t>JOHNSON DAVID N MD</t>
  </si>
  <si>
    <t>David O. Scamurra MD</t>
  </si>
  <si>
    <t>E0115769</t>
  </si>
  <si>
    <t>SCAMURRA DAVID</t>
  </si>
  <si>
    <t>David O'Neil MD</t>
  </si>
  <si>
    <t>E0192401</t>
  </si>
  <si>
    <t>ONEIL DAVID C MD PHD</t>
  </si>
  <si>
    <t>Kathleen O'Neil</t>
  </si>
  <si>
    <t>(716) 649-4454</t>
  </si>
  <si>
    <t>oneildcdr@hotmail.com</t>
  </si>
  <si>
    <t>ONEIL DAVID DR.</t>
  </si>
  <si>
    <t>David P. Kowalski MD</t>
  </si>
  <si>
    <t>E0111529</t>
  </si>
  <si>
    <t>KOWALSKI DAVID</t>
  </si>
  <si>
    <t>Amy Ciurzynski</t>
  </si>
  <si>
    <t>(716) 677-3065</t>
  </si>
  <si>
    <t>kowalskifp@choiceonemail.com</t>
  </si>
  <si>
    <t>KOWALSKI DAVID DR.</t>
  </si>
  <si>
    <t>David P. Nichols MD</t>
  </si>
  <si>
    <t>E0134552</t>
  </si>
  <si>
    <t>NICHOLS DAVID P MD PC</t>
  </si>
  <si>
    <t>Terri Kline</t>
  </si>
  <si>
    <t>(716) 297-1701</t>
  </si>
  <si>
    <t>terri.kline@msmh.org</t>
  </si>
  <si>
    <t>NICHOLS DAVID DR.</t>
  </si>
  <si>
    <t>6000 BROCKTON DR STE 109</t>
  </si>
  <si>
    <t>David Pawlowski MD</t>
  </si>
  <si>
    <t>dpawlowski@highgatemedical.com</t>
  </si>
  <si>
    <t>David R Conti MD</t>
  </si>
  <si>
    <t>David R. Dougherty DO</t>
  </si>
  <si>
    <t>d.dougherty@buffalomedicalgroup.com</t>
  </si>
  <si>
    <t>David Rowland MD</t>
  </si>
  <si>
    <t>E0233230</t>
  </si>
  <si>
    <t>ROWLAND DAVID M            MD</t>
  </si>
  <si>
    <t>ROWLAND DAVID</t>
  </si>
  <si>
    <t>Norris, Katrina</t>
  </si>
  <si>
    <t>Elderwood at Hamburg</t>
  </si>
  <si>
    <t>Deborah Urbank</t>
  </si>
  <si>
    <t>(716) 648-2820</t>
  </si>
  <si>
    <t>durbank@elderwood.com</t>
  </si>
  <si>
    <t>Elderwood at Lancaster</t>
  </si>
  <si>
    <t>Denise Bothwell</t>
  </si>
  <si>
    <t>(716) 683-6165</t>
  </si>
  <si>
    <t>dbothwell@elderwood.com</t>
  </si>
  <si>
    <t>Elderwood at Wheatfield</t>
  </si>
  <si>
    <t>Anthony DePinto</t>
  </si>
  <si>
    <t>adepinto@elderwood.com</t>
  </si>
  <si>
    <t>Elderwood at Williamsville</t>
  </si>
  <si>
    <t>Rich McCune</t>
  </si>
  <si>
    <t>rmccune@elderwood.com</t>
  </si>
  <si>
    <t>Elie Nehme</t>
  </si>
  <si>
    <t>Elizabeth Davis MD</t>
  </si>
  <si>
    <t>Elizabeth Hatton MD</t>
  </si>
  <si>
    <t>E0192048</t>
  </si>
  <si>
    <t>HATTON ELIZABETH R MD</t>
  </si>
  <si>
    <t>(716) 691-9365</t>
  </si>
  <si>
    <t>erhmd1@yahoo.com</t>
  </si>
  <si>
    <t>HATTON ELIZABETH DR.</t>
  </si>
  <si>
    <t>Elizabeth Kyger MD</t>
  </si>
  <si>
    <t>E0224311</t>
  </si>
  <si>
    <t>KYGER ELIZABETH L          MD</t>
  </si>
  <si>
    <t>KYGER ELIZABETH</t>
  </si>
  <si>
    <t>Elizabeth M Love MD</t>
  </si>
  <si>
    <t>Elizabeth Printup</t>
  </si>
  <si>
    <t>Elizabeth Weingarten MD</t>
  </si>
  <si>
    <t>E0309388</t>
  </si>
  <si>
    <t>WEINGARTEN ELIZABETH ANN</t>
  </si>
  <si>
    <t>WEINGARTEN ELIZABETH</t>
  </si>
  <si>
    <t>Elvin Witmer MD</t>
  </si>
  <si>
    <t>E0111441</t>
  </si>
  <si>
    <t>WITMER ELVIN MD</t>
  </si>
  <si>
    <t>(716) 941-6085</t>
  </si>
  <si>
    <t>sagebuc@verizon.net</t>
  </si>
  <si>
    <t>WITMER ELVIN DR.</t>
  </si>
  <si>
    <t>6400 POWERS ROAD</t>
  </si>
  <si>
    <t>Emilia Phillips MD</t>
  </si>
  <si>
    <t>Mary Kay Lee</t>
  </si>
  <si>
    <t>MaryKay@urologycenterforwomen.com</t>
  </si>
  <si>
    <t>Emily Williams MD</t>
  </si>
  <si>
    <t>Emmekunla Nylander MD</t>
  </si>
  <si>
    <t>Ephraim S. Atwal MD</t>
  </si>
  <si>
    <t>E0320165</t>
  </si>
  <si>
    <t>ATWAL EPHRAIM S</t>
  </si>
  <si>
    <t>(716) 896-8831</t>
  </si>
  <si>
    <t>ddavis.atwaleye@roadrunner.com</t>
  </si>
  <si>
    <t>ATWAL EPHRAIM</t>
  </si>
  <si>
    <t>Eric J Koch MD</t>
  </si>
  <si>
    <t>E0037086</t>
  </si>
  <si>
    <t>KOCH ERIC JOSEPH MD</t>
  </si>
  <si>
    <t>(716) 983-0974</t>
  </si>
  <si>
    <t>ejkoch@roadrunner.com</t>
  </si>
  <si>
    <t>KOCH ERIC</t>
  </si>
  <si>
    <t>Eric Sickels MD</t>
  </si>
  <si>
    <t>Eric Southard MD</t>
  </si>
  <si>
    <t>Erie Co. Department of Mental Health</t>
  </si>
  <si>
    <t>Deborah Goldman, Assistant Commissioner</t>
  </si>
  <si>
    <t>goldmand@erie.gov</t>
  </si>
  <si>
    <t>Erie County Department of Health</t>
  </si>
  <si>
    <t>Cheryll Moore</t>
  </si>
  <si>
    <t>(716) 858-7695</t>
  </si>
  <si>
    <t>cheryll.moore@erie.gov</t>
  </si>
  <si>
    <t>Erie County Senior Services</t>
  </si>
  <si>
    <t>Randall A. Hoak</t>
  </si>
  <si>
    <t>(716) 858-7283</t>
  </si>
  <si>
    <t>Randall.Hoak@erie.gov</t>
  </si>
  <si>
    <t>95 Franklin Street - Room #1329</t>
  </si>
  <si>
    <t>Erie Niagara Community-Based Integrated Care Network</t>
  </si>
  <si>
    <t>(716) 858-8526</t>
  </si>
  <si>
    <t>95 Franklin St., 13th Floor</t>
  </si>
  <si>
    <t>Erik Diringer DO</t>
  </si>
  <si>
    <t>E0353350</t>
  </si>
  <si>
    <t>DIRINGER ERIK J</t>
  </si>
  <si>
    <t>(716) 447-6100</t>
  </si>
  <si>
    <t>ejdirin@mac.com</t>
  </si>
  <si>
    <t>DIRINGER ERIK DR.</t>
  </si>
  <si>
    <t>Erik Peterson MD</t>
  </si>
  <si>
    <t>Erzsebet A. Mazepa MD</t>
  </si>
  <si>
    <t>E0207177</t>
  </si>
  <si>
    <t>MAZEPA ERZSEBET ANIKO</t>
  </si>
  <si>
    <t>MAZEPA ERZSEBET DR.</t>
  </si>
  <si>
    <t>MAZEPA ERZSEBET A</t>
  </si>
  <si>
    <t>Tajinder Singh MD</t>
  </si>
  <si>
    <t>E0330027</t>
  </si>
  <si>
    <t>SINGH TAJINDER PAL</t>
  </si>
  <si>
    <t>SINGH TAJINDERPAL DR.</t>
  </si>
  <si>
    <t>2497 DELAWARE AVE</t>
  </si>
  <si>
    <t>Tanvir Dara MD</t>
  </si>
  <si>
    <t>E0138705</t>
  </si>
  <si>
    <t>DARA TANVIR MUHAMMAD MD</t>
  </si>
  <si>
    <t>DARA TANVIR</t>
  </si>
  <si>
    <t>TANVIR M DARA MD</t>
  </si>
  <si>
    <t>Tara Mancl</t>
  </si>
  <si>
    <t>Tara Manteghi DO</t>
  </si>
  <si>
    <t>E0283383</t>
  </si>
  <si>
    <t>MANTEGHI TARA MD</t>
  </si>
  <si>
    <t>MANTEGHI TARA</t>
  </si>
  <si>
    <t>Harris Hill Nursing Facility</t>
  </si>
  <si>
    <t>Harry Eugene McCrea III MD</t>
  </si>
  <si>
    <t>E0308510</t>
  </si>
  <si>
    <t>MCCREA HARRY EUGENE III</t>
  </si>
  <si>
    <t>MCCREA HARRY</t>
  </si>
  <si>
    <t>Hartwig Boepple MD</t>
  </si>
  <si>
    <t>Healthy Community Alliance</t>
  </si>
  <si>
    <t>Sharon Mathe</t>
  </si>
  <si>
    <t>mathes@hcanetwork.org</t>
  </si>
  <si>
    <t>1 School Street, Suite 100</t>
  </si>
  <si>
    <t>Heather Pleskow MD</t>
  </si>
  <si>
    <t>Kathleen Puglisi</t>
  </si>
  <si>
    <t>kathypuglisi5@gmail.com</t>
  </si>
  <si>
    <t>Heather Wheat MD</t>
  </si>
  <si>
    <t>Henna M Sheikh MD</t>
  </si>
  <si>
    <t>Henri T. Woodman MD</t>
  </si>
  <si>
    <t>Jeneane Reedy</t>
  </si>
  <si>
    <t>(716) 998-9043</t>
  </si>
  <si>
    <t>jeneanereedy@gmail.com</t>
  </si>
  <si>
    <t>Henry Meltser MD</t>
  </si>
  <si>
    <t>Marisa Geitner</t>
  </si>
  <si>
    <t>Heritage Village Rehab &amp; Skilled Nursing, Inc</t>
  </si>
  <si>
    <t>(716) 487-6800</t>
  </si>
  <si>
    <t>Hillside Children?s Center</t>
  </si>
  <si>
    <t>Karen Sylvester</t>
  </si>
  <si>
    <t>(607) 776-5115</t>
  </si>
  <si>
    <t>ksylvest@hillside.com</t>
  </si>
  <si>
    <t>1183 MONROE AVENUE, ACCOUNTS RECEIVABLE</t>
  </si>
  <si>
    <t>Vernice Bates MD</t>
  </si>
  <si>
    <t>Victor Yosuico MD</t>
  </si>
  <si>
    <t>Vijay Bojedla MD</t>
  </si>
  <si>
    <t>vbojedla@yahoo.com</t>
  </si>
  <si>
    <t>Vilasini Shanbhag MD</t>
  </si>
  <si>
    <t>E0217251</t>
  </si>
  <si>
    <t>SHANBHAG VILASINI M        MD</t>
  </si>
  <si>
    <t>vilasinishanbhag@yahoo.com</t>
  </si>
  <si>
    <t>SHANBHAG VILASINI</t>
  </si>
  <si>
    <t>Vinay Mehta MD</t>
  </si>
  <si>
    <t>Willie Underwood MD</t>
  </si>
  <si>
    <t>E0285989</t>
  </si>
  <si>
    <t>UNDERWOOD III WILLIE</t>
  </si>
  <si>
    <t>UNDERWOOD WILLIE</t>
  </si>
  <si>
    <t>UNDERWOOD WILLIE III MD</t>
  </si>
  <si>
    <t>Rekha Vijaykumar MD</t>
  </si>
  <si>
    <t>E0173306</t>
  </si>
  <si>
    <t>VIJAYKUMAR REKHA MD</t>
  </si>
  <si>
    <t>VIJAYKUMAR REKHA</t>
  </si>
  <si>
    <t>Nicoleta  Voian MD</t>
  </si>
  <si>
    <t>E0330294</t>
  </si>
  <si>
    <t>VOIAN NICOLETA CRISTINA</t>
  </si>
  <si>
    <t>VOIAN NICOLETA</t>
  </si>
  <si>
    <t>Eunice Wang MD</t>
  </si>
  <si>
    <t>Meir Wetzler MD</t>
  </si>
  <si>
    <t>Parmanand K. Parikh MD</t>
  </si>
  <si>
    <t>E0214322</t>
  </si>
  <si>
    <t>PARIKH PARMANAND K         MD</t>
  </si>
  <si>
    <t>PARIKH PARMANAND DR.</t>
  </si>
  <si>
    <t>Patricia O'Donnell DO</t>
  </si>
  <si>
    <t>E0012532</t>
  </si>
  <si>
    <t>O'DONNELL PATRICIA AINE MD</t>
  </si>
  <si>
    <t>ODONNELL PATRICIA</t>
  </si>
  <si>
    <t>O'DONNELL PATRICIA AINE</t>
  </si>
  <si>
    <t>100 COLLEGE PKWY STE 260</t>
  </si>
  <si>
    <t>Patrick Chan-lam MD</t>
  </si>
  <si>
    <t>Patrick Collins</t>
  </si>
  <si>
    <t>E0227474</t>
  </si>
  <si>
    <t>COLLINS PATRICK S MD</t>
  </si>
  <si>
    <t>COLLINS PATRICK DR.</t>
  </si>
  <si>
    <t>ALLEN STREET</t>
  </si>
  <si>
    <t>Patrick J. Hughes MD</t>
  </si>
  <si>
    <t>Patricia Hughes</t>
  </si>
  <si>
    <t>pshughes@gmail.com</t>
  </si>
  <si>
    <t>Patrick Siaw MD</t>
  </si>
  <si>
    <t>Darlene Maple</t>
  </si>
  <si>
    <t>(716) 893-8550</t>
  </si>
  <si>
    <t>dmaple@chsbuffalo.org</t>
  </si>
  <si>
    <t>Paul Anain MD</t>
  </si>
  <si>
    <t>Paul Biddle MD</t>
  </si>
  <si>
    <t>E0017443</t>
  </si>
  <si>
    <t>BIDDLE PAUL</t>
  </si>
  <si>
    <t>Marge Roberts</t>
  </si>
  <si>
    <t>(716) 649-1613</t>
  </si>
  <si>
    <t>m.roberts0306@gmail.com</t>
  </si>
  <si>
    <t>BIDDLE PAUL THOMAS MD</t>
  </si>
  <si>
    <t>Paul D. Paterson MD</t>
  </si>
  <si>
    <t>E0095353</t>
  </si>
  <si>
    <t>PATERSON PAUL D MD</t>
  </si>
  <si>
    <t>PATERSON PAUL</t>
  </si>
  <si>
    <t>Paul J Wopperer MD</t>
  </si>
  <si>
    <t>(716) 565-3620</t>
  </si>
  <si>
    <t>paulwopperer@yahoo.com</t>
  </si>
  <si>
    <t>Dawn Dolan PA</t>
  </si>
  <si>
    <t>E0029888</t>
  </si>
  <si>
    <t>DOLAN DAWN M RPA</t>
  </si>
  <si>
    <t>DOLAN DAWN</t>
  </si>
  <si>
    <t>Amanda Kindzia</t>
  </si>
  <si>
    <t>Amar J.S. Atwal MD</t>
  </si>
  <si>
    <t>E0249312</t>
  </si>
  <si>
    <t>ATWAL AMARJIT              MD</t>
  </si>
  <si>
    <t>ATWAL AMARJIT</t>
  </si>
  <si>
    <t>ATWAL EYE SURG CTR</t>
  </si>
  <si>
    <t>Amarjit Singh MD</t>
  </si>
  <si>
    <t>asingh@buffalomedicalgroup.com</t>
  </si>
  <si>
    <t>Steven Jaeckle PA</t>
  </si>
  <si>
    <t>JAECKLE STEVEN</t>
  </si>
  <si>
    <t>Susan DeLong NP</t>
  </si>
  <si>
    <t>Susan Joseph PA</t>
  </si>
  <si>
    <t>E0287759</t>
  </si>
  <si>
    <t>JOSEPH SUSAN M RPA</t>
  </si>
  <si>
    <t>JOSEPH SUSAN MS.</t>
  </si>
  <si>
    <t>Susan Kreppel NP</t>
  </si>
  <si>
    <t>Susan McLanahan PA</t>
  </si>
  <si>
    <t>E0329676</t>
  </si>
  <si>
    <t>SUSAN GAYLE MCLANAHAN</t>
  </si>
  <si>
    <t>MCLANAHAN SUSAN MRS.</t>
  </si>
  <si>
    <t>MCLANAHAN GAYLE SUSAN</t>
  </si>
  <si>
    <t>Susan Patronik PA</t>
  </si>
  <si>
    <t>E0290189</t>
  </si>
  <si>
    <t>PATRONIK SUSAN MARIE RPA</t>
  </si>
  <si>
    <t>PATRONIK SUSAN</t>
  </si>
  <si>
    <t>PATRONIK SUSAN MARIE</t>
  </si>
  <si>
    <t>Susan Senf NP</t>
  </si>
  <si>
    <t>E0049664</t>
  </si>
  <si>
    <t>SENF SUSAN B</t>
  </si>
  <si>
    <t>SENF SUSAN</t>
  </si>
  <si>
    <t>Susan Wegzryn ANP</t>
  </si>
  <si>
    <t>Suzanne Stoklosa NP</t>
  </si>
  <si>
    <t>E0015049</t>
  </si>
  <si>
    <t>STOKLOSA SUZANNE E</t>
  </si>
  <si>
    <t>STOKLOSA SUZANNE</t>
  </si>
  <si>
    <t>STOKLOSA SUZANNE ELAINE</t>
  </si>
  <si>
    <t>Jaime Obst DO</t>
  </si>
  <si>
    <t>E0354969</t>
  </si>
  <si>
    <t>OBST JAIME REHMANN</t>
  </si>
  <si>
    <t>OBST JAIME</t>
  </si>
  <si>
    <t>Jamal Zohur MD</t>
  </si>
  <si>
    <t>E0042674</t>
  </si>
  <si>
    <t>ZOHUR JAMAL B MD</t>
  </si>
  <si>
    <t>Tammy Kaczmarek</t>
  </si>
  <si>
    <t>(716) 205-0170</t>
  </si>
  <si>
    <t>tkaczmarek@accessiumbc.com</t>
  </si>
  <si>
    <t>ZOHUR JAMAL</t>
  </si>
  <si>
    <t>James B Fitzgerald MD</t>
  </si>
  <si>
    <t>E0171899</t>
  </si>
  <si>
    <t>FITZGERALD JAMES B MD</t>
  </si>
  <si>
    <t>JFitz34@aol.com</t>
  </si>
  <si>
    <t>FITZGERALD JAMES DR.</t>
  </si>
  <si>
    <t>O L VICTORY HOSPITAL</t>
  </si>
  <si>
    <t>James Burruano DPM</t>
  </si>
  <si>
    <t>Dena Hewett</t>
  </si>
  <si>
    <t>jburruano@yahoo.com</t>
  </si>
  <si>
    <t>James Conway MD</t>
  </si>
  <si>
    <t>jconway@buffalomedicalgroup.com</t>
  </si>
  <si>
    <t>James Cumella MD</t>
  </si>
  <si>
    <t>Rosemary Cumella</t>
  </si>
  <si>
    <t>RoseAC@verizon.net</t>
  </si>
  <si>
    <t>David S. Bevilacqua MD</t>
  </si>
  <si>
    <t>E0214339</t>
  </si>
  <si>
    <t>BEVILACQUA DAVID S         MD</t>
  </si>
  <si>
    <t>(716) 662-8087</t>
  </si>
  <si>
    <t>dsb555@hotmail.com</t>
  </si>
  <si>
    <t>BEVILACQUA DAVID DR.</t>
  </si>
  <si>
    <t>S-3673 SOUTHWESTERN</t>
  </si>
  <si>
    <t>David S. Garson MD</t>
  </si>
  <si>
    <t>David Wolf MD</t>
  </si>
  <si>
    <t>E0179864</t>
  </si>
  <si>
    <t>WOLF DAVID MARK MD</t>
  </si>
  <si>
    <t>WOLF DAVID DR.</t>
  </si>
  <si>
    <t>PARK RIDGE PRIV OFF</t>
  </si>
  <si>
    <t>Dawn A. Gais MD</t>
  </si>
  <si>
    <t>E0096138</t>
  </si>
  <si>
    <t>GAIS DAWN ALEXANDRA MD</t>
  </si>
  <si>
    <t>(716) 677-6060</t>
  </si>
  <si>
    <t>dgais@buffalomedicalgroup.com</t>
  </si>
  <si>
    <t>GAIS DAWN DR.</t>
  </si>
  <si>
    <t>Deborah Raiken MD</t>
  </si>
  <si>
    <t>Debra Daniels</t>
  </si>
  <si>
    <t>E0048264</t>
  </si>
  <si>
    <t>DANIELS DEBRA B</t>
  </si>
  <si>
    <t>DANIELS DEBRA</t>
  </si>
  <si>
    <t>Debra Ehrig MD</t>
  </si>
  <si>
    <t>E0044076</t>
  </si>
  <si>
    <t>EHRIG DEBRA LYNN MD</t>
  </si>
  <si>
    <t>Mary Mayerat</t>
  </si>
  <si>
    <t>mayeratm@springvillepeds.com</t>
  </si>
  <si>
    <t>EHRIG DEBRA</t>
  </si>
  <si>
    <t>EHRIG DEBRA LYNN</t>
  </si>
  <si>
    <t>25 E MAIN ST</t>
  </si>
  <si>
    <t>Deirdre Bastible MD</t>
  </si>
  <si>
    <t>E0184758</t>
  </si>
  <si>
    <t>BASTIBLE DEIRDRE MARY MD</t>
  </si>
  <si>
    <t>BASTIBLE DEIRDRE DR.</t>
  </si>
  <si>
    <t>ST VINCENTS HOSP ER</t>
  </si>
  <si>
    <t>Delaware Center for Rehabilitation &amp; Specialty Healthcare</t>
  </si>
  <si>
    <t>INNOVA GLOUCESTER DEPTFORD BRIDGE OPERATIONS LLC</t>
  </si>
  <si>
    <t>1511 CLEMENTS BRIDGE RD</t>
  </si>
  <si>
    <t>DEPTFORD</t>
  </si>
  <si>
    <t>Jennifer J. Adamson</t>
  </si>
  <si>
    <t>E0038742</t>
  </si>
  <si>
    <t>ADAMSON JENNIFER</t>
  </si>
  <si>
    <t>ADAMSON JENNIFER DR.</t>
  </si>
  <si>
    <t>ADAMSON JENNIFER JO</t>
  </si>
  <si>
    <t>Stephen Murak</t>
  </si>
  <si>
    <t>E0390173</t>
  </si>
  <si>
    <t>MURAK STEPHEN ADAM</t>
  </si>
  <si>
    <t>MURAK STEPHEN DR.</t>
  </si>
  <si>
    <t>James Conley</t>
  </si>
  <si>
    <t>Jacqueline Rueda</t>
  </si>
  <si>
    <t>E0369265</t>
  </si>
  <si>
    <t>RUEDA JACQUELINE</t>
  </si>
  <si>
    <t>RUEDA JACQUELINE MRS.</t>
  </si>
  <si>
    <t>1083 DELAWARE AVE FL 3</t>
  </si>
  <si>
    <t>Melissa A. Tarnowski</t>
  </si>
  <si>
    <t>E0011340</t>
  </si>
  <si>
    <t>TARNOWSKI MELISSA A RPA</t>
  </si>
  <si>
    <t>TARNOWSKI MELISSA</t>
  </si>
  <si>
    <t>TARNOWSKI MELISSA A</t>
  </si>
  <si>
    <t>Deborah Maciolek</t>
  </si>
  <si>
    <t>E0065594</t>
  </si>
  <si>
    <t>MACIOLEK DEBORAH A RPA</t>
  </si>
  <si>
    <t>MACIOLEK DEBORAH MS.</t>
  </si>
  <si>
    <t>Melissa Fincher-Mergi</t>
  </si>
  <si>
    <t>E0043702</t>
  </si>
  <si>
    <t>FINCHER-MERGI MELISSA</t>
  </si>
  <si>
    <t>Sister Nancy Murphy</t>
  </si>
  <si>
    <t>E0354533</t>
  </si>
  <si>
    <t>MURPHY NANCY ANNE</t>
  </si>
  <si>
    <t>MURPHY NANCY MS.</t>
  </si>
  <si>
    <t>Jennifer Ward</t>
  </si>
  <si>
    <t>Sandra Sauvageau</t>
  </si>
  <si>
    <t>E0065400</t>
  </si>
  <si>
    <t>SAUVAGEAU SANDRA JANE</t>
  </si>
  <si>
    <t>SAUVAGEAU SANDRA MRS.</t>
  </si>
  <si>
    <t>Caitlin Briggs</t>
  </si>
  <si>
    <t>Andrea Rosati</t>
  </si>
  <si>
    <t>E0113332</t>
  </si>
  <si>
    <t>ROSATI ANDREA M</t>
  </si>
  <si>
    <t>ROSATI ANDREA MS.</t>
  </si>
  <si>
    <t>Tara Reimer MD</t>
  </si>
  <si>
    <t>Mary E. Morseon</t>
  </si>
  <si>
    <t>cspeds24@gmail.com</t>
  </si>
  <si>
    <t>Tariq A Sheikh MD</t>
  </si>
  <si>
    <t>Tariq Khan</t>
  </si>
  <si>
    <t>E0133521</t>
  </si>
  <si>
    <t>KHAN TARIQ MAHMOOD</t>
  </si>
  <si>
    <t>KHAN TARIQ</t>
  </si>
  <si>
    <t>Tej Kaul MD</t>
  </si>
  <si>
    <t>Tejinder Kalra MD</t>
  </si>
  <si>
    <t>Colleen Donovan</t>
  </si>
  <si>
    <t>(716) 892-9670</t>
  </si>
  <si>
    <t>tkalra1@yahoo.com</t>
  </si>
  <si>
    <t>Terence O'Connor MD</t>
  </si>
  <si>
    <t>Shirley Hodil</t>
  </si>
  <si>
    <t>shirleyhodil@yahoo.com</t>
  </si>
  <si>
    <t>Teresa Chau MD</t>
  </si>
  <si>
    <t>Thaddeus Szarzanowicz MD</t>
  </si>
  <si>
    <t>The Gerry Homes dba Heritage Green Nursing Home</t>
  </si>
  <si>
    <t>The Gerry Homes dba Heritage Park Health Care Center</t>
  </si>
  <si>
    <t>The Gerry Homes dba Orchard Grove Residences</t>
  </si>
  <si>
    <t>The McAuley Residence</t>
  </si>
  <si>
    <t>E0252002</t>
  </si>
  <si>
    <t>MCAULEY RESIDENCE SNF</t>
  </si>
  <si>
    <t>MCAULEY RESIDENCE</t>
  </si>
  <si>
    <t>Theodore Merletti DPM</t>
  </si>
  <si>
    <t>E0177801</t>
  </si>
  <si>
    <t>MERLETTI THEODORE F DPM</t>
  </si>
  <si>
    <t>Theodore Merletti</t>
  </si>
  <si>
    <t>tmerletti@aol.com</t>
  </si>
  <si>
    <t>MERLETTI THEODORE DR.</t>
  </si>
  <si>
    <t>616 PINE AVE</t>
  </si>
  <si>
    <t>Theodore Wells, Jr. MD</t>
  </si>
  <si>
    <t>twells.gi@gmail.com</t>
  </si>
  <si>
    <t>Theresa Pequeen</t>
  </si>
  <si>
    <t>Theresa Wegman MD</t>
  </si>
  <si>
    <t>Thom R. Loree MD</t>
  </si>
  <si>
    <t>Thomas Anthony Cumbo MD</t>
  </si>
  <si>
    <t>tomcumbo@yahoo.com</t>
  </si>
  <si>
    <t>Thomas Brewer DO</t>
  </si>
  <si>
    <t>buffalointernalmedicine@yahoo.com</t>
  </si>
  <si>
    <t>Thomas DeGrave DO</t>
  </si>
  <si>
    <t>E0121080</t>
  </si>
  <si>
    <t>DEGRAVE THOMAS DO</t>
  </si>
  <si>
    <t>Stacy Szeglowski</t>
  </si>
  <si>
    <t>(716) 662-5357</t>
  </si>
  <si>
    <t>Stacy@opfppc.net</t>
  </si>
  <si>
    <t>DEGRAVE THOMAS</t>
  </si>
  <si>
    <t>DEGRAVE THOMAS EDWARD</t>
  </si>
  <si>
    <t>Thomas Gerbasi MD</t>
  </si>
  <si>
    <t>Kim LaGreca</t>
  </si>
  <si>
    <t>rainbow_pediatrics@hotmail.com</t>
  </si>
  <si>
    <t>Thomas Hassenfratz DPM</t>
  </si>
  <si>
    <t>E0239353</t>
  </si>
  <si>
    <t>HASSENFRATZ THOMAS A DPM</t>
  </si>
  <si>
    <t>Cathy Mazzone</t>
  </si>
  <si>
    <t>(716) 836-7156</t>
  </si>
  <si>
    <t>gamble62@yahoo.com</t>
  </si>
  <si>
    <t>HASSENFRATZ THOMAS DR.</t>
  </si>
  <si>
    <t>380 CLEVELAND DR</t>
  </si>
  <si>
    <t>Thomas Helm MD</t>
  </si>
  <si>
    <t>Heather Waterman</t>
  </si>
  <si>
    <t>(716) 630-2500</t>
  </si>
  <si>
    <t>hturner@buffalomedicalgroup.com</t>
  </si>
  <si>
    <t>Thomas Hughes MD</t>
  </si>
  <si>
    <t>hughes@tfhughesmd.com</t>
  </si>
  <si>
    <t>Thomas Mason MD</t>
  </si>
  <si>
    <t>E0303192</t>
  </si>
  <si>
    <t>MASON THOMAS</t>
  </si>
  <si>
    <t>tomason@gmail.com</t>
  </si>
  <si>
    <t>MASON THOMAS DR.</t>
  </si>
  <si>
    <t>Thomas Polisoto MD</t>
  </si>
  <si>
    <t>Thomas Polosoto</t>
  </si>
  <si>
    <t>(716) 558-5153</t>
  </si>
  <si>
    <t>tpolisotomd@gmail.com</t>
  </si>
  <si>
    <t>Joanne Campbell PA</t>
  </si>
  <si>
    <t>CAMPBELL JOANNE</t>
  </si>
  <si>
    <t>Joanne Chmura NP</t>
  </si>
  <si>
    <t>E0049611</t>
  </si>
  <si>
    <t>CHMURA JOANNE Q</t>
  </si>
  <si>
    <t>CHMURA JOANNE MRS.</t>
  </si>
  <si>
    <t>Joanne Pantano NP</t>
  </si>
  <si>
    <t>Joanne Williams PA</t>
  </si>
  <si>
    <t>E0092801</t>
  </si>
  <si>
    <t>WILLIAMS JOANNE E RPA</t>
  </si>
  <si>
    <t>WILLIAMS JOANNE MS.</t>
  </si>
  <si>
    <t>77 ELIZABETH DR</t>
  </si>
  <si>
    <t>Marie Iacona MD</t>
  </si>
  <si>
    <t>Marie-Eve Thoman MD</t>
  </si>
  <si>
    <t>E0339059</t>
  </si>
  <si>
    <t>NOEL MARIE-EVE CHRISTINE</t>
  </si>
  <si>
    <t>THOMAN MARIE-EVE DR.</t>
  </si>
  <si>
    <t>THOMAN MARIE-EVE CHRISTINE</t>
  </si>
  <si>
    <t>Mark A. Weissman MD</t>
  </si>
  <si>
    <t>Mark Bezbatchenko MD</t>
  </si>
  <si>
    <t>Mark Burke MD</t>
  </si>
  <si>
    <t>Mark D. Chazen MD</t>
  </si>
  <si>
    <t>Mark Falvo MD</t>
  </si>
  <si>
    <t>Mark J. Doerr MD</t>
  </si>
  <si>
    <t>Gary Hill</t>
  </si>
  <si>
    <t>GHill@wnyurologysouth.com</t>
  </si>
  <si>
    <t>Mark Jajkowski MD</t>
  </si>
  <si>
    <t>mjajkow@chsbuffalo.org</t>
  </si>
  <si>
    <t>Mark R. Podlas MD</t>
  </si>
  <si>
    <t>E0177590</t>
  </si>
  <si>
    <t>PODLAS MARK ROBERT</t>
  </si>
  <si>
    <t>PODLAS MARK</t>
  </si>
  <si>
    <t>Mark Schulte MD</t>
  </si>
  <si>
    <t>Mark St Marie MD</t>
  </si>
  <si>
    <t>Marsilia Seiwell Cloud MD</t>
  </si>
  <si>
    <t>Martin A. Casey MD</t>
  </si>
  <si>
    <t>Laura Ciotoli</t>
  </si>
  <si>
    <t>martincaseymd@aol.com</t>
  </si>
  <si>
    <t>Martina Taylor MD</t>
  </si>
  <si>
    <t>m.taylor@nwbchcc.org</t>
  </si>
  <si>
    <t>Mary Alice Kelly MD</t>
  </si>
  <si>
    <t>E0115760</t>
  </si>
  <si>
    <t>KELLY MARY DR.</t>
  </si>
  <si>
    <t>KELLY MARY ALICE</t>
  </si>
  <si>
    <t>Mary Elizabeth Roehmholdt MD</t>
  </si>
  <si>
    <t>Mary Jo McDonell MD</t>
  </si>
  <si>
    <t>Mary Louise Lenahan MD</t>
  </si>
  <si>
    <t>E0211097</t>
  </si>
  <si>
    <t>LENAHAN MARY LOUISE        MD</t>
  </si>
  <si>
    <t>(716) 689-4377</t>
  </si>
  <si>
    <t>drlenahan@yahoo.com</t>
  </si>
  <si>
    <t>LENAHAN MARY</t>
  </si>
  <si>
    <t>Mary Margaret O'Neil MD</t>
  </si>
  <si>
    <t>Mary Rudloff</t>
  </si>
  <si>
    <t>Corine Cicchetti MD</t>
  </si>
  <si>
    <t>Corstiaan Brass MD</t>
  </si>
  <si>
    <t>JoAnne Vogel</t>
  </si>
  <si>
    <t>(716) 857-8603</t>
  </si>
  <si>
    <t>Courtenay Watt MD</t>
  </si>
  <si>
    <t>lcreewatt@aol.com</t>
  </si>
  <si>
    <t>R Keith Felstead DO</t>
  </si>
  <si>
    <t>E0111526</t>
  </si>
  <si>
    <t>FELSTEAD R</t>
  </si>
  <si>
    <t>FELSTEAD R DR.</t>
  </si>
  <si>
    <t># R</t>
  </si>
  <si>
    <t>Rachel Weselak MD</t>
  </si>
  <si>
    <t>E0297746</t>
  </si>
  <si>
    <t>RACHEL GEORGE WESELAK</t>
  </si>
  <si>
    <t>(716) 298-2224</t>
  </si>
  <si>
    <t>WESELAK RACHEL DR.</t>
  </si>
  <si>
    <t>WESELAK RACHEL GEORGE MD</t>
  </si>
  <si>
    <t>Rafael Medina MD</t>
  </si>
  <si>
    <t>Maria Oleas</t>
  </si>
  <si>
    <t>(716) 635-0230</t>
  </si>
  <si>
    <t>medinaeyecare@verizon.net</t>
  </si>
  <si>
    <t>James F. Twist MD</t>
  </si>
  <si>
    <t>E0216274</t>
  </si>
  <si>
    <t>TWIST JAMES F MD PC</t>
  </si>
  <si>
    <t>Maureen Twist</t>
  </si>
  <si>
    <t>(716) 873-7227</t>
  </si>
  <si>
    <t>mtwist1@gmail.com</t>
  </si>
  <si>
    <t>TWIST JAMES DR.</t>
  </si>
  <si>
    <t>2156 SHERIDAN DR</t>
  </si>
  <si>
    <t>James G Egnatchik MD</t>
  </si>
  <si>
    <t>James G Lampasso MD</t>
  </si>
  <si>
    <t>James J Czyrny MD</t>
  </si>
  <si>
    <t>Judy Daniels</t>
  </si>
  <si>
    <t>jdaniels@ecmc.edu</t>
  </si>
  <si>
    <t>James J. Piscatelli MD</t>
  </si>
  <si>
    <t>James Kelly DO</t>
  </si>
  <si>
    <t>James M. Fitzpatrick MD</t>
  </si>
  <si>
    <t>E0163466</t>
  </si>
  <si>
    <t>FITZPATRICK JAMES M MD</t>
  </si>
  <si>
    <t>Kim Bautz</t>
  </si>
  <si>
    <t>(716) 876-8760</t>
  </si>
  <si>
    <t>kbrych@chsbuffalo.org</t>
  </si>
  <si>
    <t>FITZPATRICK JAMES DR.</t>
  </si>
  <si>
    <t>DEGRAFF MEM HSP 3FL</t>
  </si>
  <si>
    <t>James M. Wopperer MD</t>
  </si>
  <si>
    <t>E0204423</t>
  </si>
  <si>
    <t>WOPPERER JAMES MICHAEL     MD</t>
  </si>
  <si>
    <t>WOPPERER JAMES</t>
  </si>
  <si>
    <t>WOPPERER JAMES MICHAEL</t>
  </si>
  <si>
    <t>James Matthews MD</t>
  </si>
  <si>
    <t>E0224286</t>
  </si>
  <si>
    <t>MATTHEWS JAMES H           MD</t>
  </si>
  <si>
    <t>MATTHEWS JAMES DR.</t>
  </si>
  <si>
    <t>ELDER MED SRV PC</t>
  </si>
  <si>
    <t>James McEntee MD</t>
  </si>
  <si>
    <t>James Panzarella DO</t>
  </si>
  <si>
    <t>fcmedicine1208@aol.com</t>
  </si>
  <si>
    <t>James Ryan, III MD</t>
  </si>
  <si>
    <t>James Rycyna MD</t>
  </si>
  <si>
    <t>E0201500</t>
  </si>
  <si>
    <t>RYCYNA JAMES L MD</t>
  </si>
  <si>
    <t>RYCYNA JAMES</t>
  </si>
  <si>
    <t>Elaine Clutterbuck</t>
  </si>
  <si>
    <t>E0153344</t>
  </si>
  <si>
    <t>CLUTTERBUCK ELAINE L</t>
  </si>
  <si>
    <t>CLUTTERBUCK ELAINE</t>
  </si>
  <si>
    <t>Elderwood at Amherst</t>
  </si>
  <si>
    <t>Larry Piselli</t>
  </si>
  <si>
    <t>(716) 835-2543</t>
  </si>
  <si>
    <t>jpiselli@elderwood.com</t>
  </si>
  <si>
    <t>Elderwood at Cheektowaga</t>
  </si>
  <si>
    <t>Scott West</t>
  </si>
  <si>
    <t>swest@elderwood.com</t>
  </si>
  <si>
    <t>Elderwood at Grand Island</t>
  </si>
  <si>
    <t>Colleen Krauss</t>
  </si>
  <si>
    <t>(716) 773-5900</t>
  </si>
  <si>
    <t>ckrauss@elderwood.com</t>
  </si>
  <si>
    <t>Shashi Lall MD</t>
  </si>
  <si>
    <t>Sandy Rautenstrauch</t>
  </si>
  <si>
    <t>scherers53@yahoo.com</t>
  </si>
  <si>
    <t>Shawn Cotton MD</t>
  </si>
  <si>
    <t>E0121871</t>
  </si>
  <si>
    <t>COTTON SHAWN E MD</t>
  </si>
  <si>
    <t>COTTON SHAWN</t>
  </si>
  <si>
    <t>Shawn Ferguson MD</t>
  </si>
  <si>
    <t>E0117294</t>
  </si>
  <si>
    <t>FERGUSON SHAWN P MD</t>
  </si>
  <si>
    <t>FERGUSON SHAWN MR.</t>
  </si>
  <si>
    <t>733 CENTER ST</t>
  </si>
  <si>
    <t>Shehla Haque MD</t>
  </si>
  <si>
    <t>E0208363</t>
  </si>
  <si>
    <t>HAQUE SHEHLA               MD</t>
  </si>
  <si>
    <t>HAQUE SHEHLA</t>
  </si>
  <si>
    <t>Sheila Pieczonka DO</t>
  </si>
  <si>
    <t>Shirley Anain MD</t>
  </si>
  <si>
    <t>Jacqueline Graham</t>
  </si>
  <si>
    <t>drsanain@hotmail.com</t>
  </si>
  <si>
    <t>Siddhartha Shah MD</t>
  </si>
  <si>
    <t>Sisters Hospitalist Service</t>
  </si>
  <si>
    <t>E0012322</t>
  </si>
  <si>
    <t>SISTERS OF CHARITY HSP OF BUFFALO</t>
  </si>
  <si>
    <t>SISTERS OF CHARITY HOSPITAL OF BUFFALO, NEW YORK</t>
  </si>
  <si>
    <t>SISTERS OF CHARITY HOSPITAL OF BUFF</t>
  </si>
  <si>
    <t>Sisters Long Term Home Health Care Program</t>
  </si>
  <si>
    <t>E0263724</t>
  </si>
  <si>
    <t>SISTERS OF CHARITY HOSP</t>
  </si>
  <si>
    <t>SISTERS OF CHARITY HOSPITAL OF BUFFALO NEW YORK</t>
  </si>
  <si>
    <t>SISTERS OF CHARITY HOSP ST JOSEPH</t>
  </si>
  <si>
    <t>SISTERS OF CHARITY HOSPITAL</t>
  </si>
  <si>
    <t>Sisters of Charity Hospital of Buffalo</t>
  </si>
  <si>
    <t>Song Yi Han MD</t>
  </si>
  <si>
    <t>E0351557</t>
  </si>
  <si>
    <t>HAN SONG YI</t>
  </si>
  <si>
    <t>HAN SONG DR.</t>
  </si>
  <si>
    <t>Sheridan Manor LLC</t>
  </si>
  <si>
    <t>Mark Smeltzer</t>
  </si>
  <si>
    <t>(716) 969-7141</t>
  </si>
  <si>
    <t>msmeltzer@glcmail.net</t>
  </si>
  <si>
    <t>Directions in Independent Living</t>
  </si>
  <si>
    <t>E0005578</t>
  </si>
  <si>
    <t>DIRECTIONS IN INDEPENDENT LIV MH</t>
  </si>
  <si>
    <t>Robin Land</t>
  </si>
  <si>
    <t>(716) 373-4602</t>
  </si>
  <si>
    <t>rland@oleanilc.org</t>
  </si>
  <si>
    <t>DIRECTIONS IN INDEPENDENT LIVING, INC.</t>
  </si>
  <si>
    <t>512 W STATE ST</t>
  </si>
  <si>
    <t>Chautauqua DMH Health Home</t>
  </si>
  <si>
    <t>Patricia Brinkman</t>
  </si>
  <si>
    <t>brinkmanpa@chautauqua.ny.us</t>
  </si>
  <si>
    <t>KUCZYNSKI CASSIE MRS.</t>
  </si>
  <si>
    <t>303 N HURSTBOURNE PKWY STE 200</t>
  </si>
  <si>
    <t>Beacon Center</t>
  </si>
  <si>
    <t>Jackie Nicastro</t>
  </si>
  <si>
    <t>jmreardon@niagaracp.org</t>
  </si>
  <si>
    <t>Horizon Management Group</t>
  </si>
  <si>
    <t>Michell Curto</t>
  </si>
  <si>
    <t>michelle@horizon-health.org</t>
  </si>
  <si>
    <t>3020 Bailey Avenue</t>
  </si>
  <si>
    <t>Chautauqua Adult Day Care Centers, Inc.</t>
  </si>
  <si>
    <t>E0029725</t>
  </si>
  <si>
    <t>CHAUTAUQUA ADC INC DAY</t>
  </si>
  <si>
    <t>Frank Bercik</t>
  </si>
  <si>
    <t>(716) 665-4899</t>
  </si>
  <si>
    <t>frankadc@windstream.net</t>
  </si>
  <si>
    <t>American Diabetes Association</t>
  </si>
  <si>
    <t>Kelly Mueller</t>
  </si>
  <si>
    <t>(716) 835-0274</t>
  </si>
  <si>
    <t>kmueller@diabetes.org</t>
  </si>
  <si>
    <t>315 Alberta Drive</t>
  </si>
  <si>
    <t>Absolut Care of Allegany</t>
  </si>
  <si>
    <t>Dennis Chugh MD</t>
  </si>
  <si>
    <t>Deolindo Ocampos MD</t>
  </si>
  <si>
    <t>E0240514</t>
  </si>
  <si>
    <t>OCAMPOS DEOLINDO           MD</t>
  </si>
  <si>
    <t>OCAMPOS DEOLINDO DR.</t>
  </si>
  <si>
    <t>Sam Samuel</t>
  </si>
  <si>
    <t>Saman Chubineh MD</t>
  </si>
  <si>
    <t>E0297724</t>
  </si>
  <si>
    <t>CHUBINEH SAMAN B</t>
  </si>
  <si>
    <t>Marie Fisher</t>
  </si>
  <si>
    <t>(716) 895-4400</t>
  </si>
  <si>
    <t>fishers351@msn.com</t>
  </si>
  <si>
    <t>CHUBINEH SAMAN DR.</t>
  </si>
  <si>
    <t>Sameer Mamnoon MD</t>
  </si>
  <si>
    <t>Kathryn Erickson</t>
  </si>
  <si>
    <t>kkerickson@verizon.net</t>
  </si>
  <si>
    <t>Sami A. Raphael MD</t>
  </si>
  <si>
    <t>E0145833</t>
  </si>
  <si>
    <t>RAPHAEL SAMI ABDEL SAYED MD</t>
  </si>
  <si>
    <t>Donna Moore</t>
  </si>
  <si>
    <t>donna.moore@msmh.org</t>
  </si>
  <si>
    <t>RAPHAEL SAMI DR.</t>
  </si>
  <si>
    <t>495 PORTAGE RD</t>
  </si>
  <si>
    <t>Samuel F. Ruggiero DPM</t>
  </si>
  <si>
    <t>E0217430</t>
  </si>
  <si>
    <t>RUGGIERO SAMUEL F DPM</t>
  </si>
  <si>
    <t>Cindi Notaro</t>
  </si>
  <si>
    <t>(716) 896-6262</t>
  </si>
  <si>
    <t>canotaro@hotmail.com</t>
  </si>
  <si>
    <t>RUGGIERO SAMUEL DR.</t>
  </si>
  <si>
    <t>Samuel Sirianni MD,PhD</t>
  </si>
  <si>
    <t>E0188446</t>
  </si>
  <si>
    <t>SIRIANNI SAMUEL RANGATORE MD</t>
  </si>
  <si>
    <t>SIRIANNI SAMUEL</t>
  </si>
  <si>
    <t>Sandra A. Block MD</t>
  </si>
  <si>
    <t>E0068442</t>
  </si>
  <si>
    <t>BLOCK SANDRA A MD</t>
  </si>
  <si>
    <t>BLOCK SANDRA DR.</t>
  </si>
  <si>
    <t>Sanford R. Pleskow MD</t>
  </si>
  <si>
    <t>E0237104</t>
  </si>
  <si>
    <t>PLESKOW SANFORD RONALD     MD</t>
  </si>
  <si>
    <t>PLESKOW SANFORD DR.</t>
  </si>
  <si>
    <t>Sanjay Gupta MD</t>
  </si>
  <si>
    <t>sanjay.gupta.dr@gmail.com</t>
  </si>
  <si>
    <t>Sanjeev Ahuja MD</t>
  </si>
  <si>
    <t>E0138263</t>
  </si>
  <si>
    <t>AHUJA SANJEEV K MD</t>
  </si>
  <si>
    <t>AHUJA SANJEEV</t>
  </si>
  <si>
    <t>Sara Koritz MD</t>
  </si>
  <si>
    <t>saranika1@gmail.com</t>
  </si>
  <si>
    <t>Sara R. Sirkin MD</t>
  </si>
  <si>
    <t>Karen Killinger</t>
  </si>
  <si>
    <t>sararsirkin@hotmail.com</t>
  </si>
  <si>
    <t>Sarah Cook</t>
  </si>
  <si>
    <t>E0004403</t>
  </si>
  <si>
    <t>COOK SARAH MICHELLE RPA</t>
  </si>
  <si>
    <t>COOK SARAH MRS.</t>
  </si>
  <si>
    <t>Sarah Cook MD</t>
  </si>
  <si>
    <t>E0011921</t>
  </si>
  <si>
    <t>COOK SARAH A MD</t>
  </si>
  <si>
    <t>COOK SARAH ANNE LIGHTHEART</t>
  </si>
  <si>
    <t>JOHN HANAVAN NP</t>
  </si>
  <si>
    <t>E0095460</t>
  </si>
  <si>
    <t>HANAVAN JOHN D</t>
  </si>
  <si>
    <t>HANAVAN JOHN</t>
  </si>
  <si>
    <t>Johnna Hotz PA</t>
  </si>
  <si>
    <t>E0049626</t>
  </si>
  <si>
    <t>HOTZ JOHNNA B</t>
  </si>
  <si>
    <t>HOTZ JOHNNA</t>
  </si>
  <si>
    <t>Judy Tomasini NP</t>
  </si>
  <si>
    <t>E0071931</t>
  </si>
  <si>
    <t>TOMASINI JUDY ELIZABETH</t>
  </si>
  <si>
    <t>TOMASINI JUDY</t>
  </si>
  <si>
    <t>457 3RD ST</t>
  </si>
  <si>
    <t>June Telaak NP</t>
  </si>
  <si>
    <t>E0092641</t>
  </si>
  <si>
    <t>TELAAK JUNE MARIE</t>
  </si>
  <si>
    <t>TELAAK JUNE</t>
  </si>
  <si>
    <t>Karee Chella NP</t>
  </si>
  <si>
    <t>E0343247</t>
  </si>
  <si>
    <t>CHELLA KAREE A</t>
  </si>
  <si>
    <t>CHELLA KAREE</t>
  </si>
  <si>
    <t>Karen Baetzhold PA</t>
  </si>
  <si>
    <t>E0065799</t>
  </si>
  <si>
    <t>BAETZHOLD KAREN G</t>
  </si>
  <si>
    <t>BAETZHOLD KAREN</t>
  </si>
  <si>
    <t>2540 SHERIDAN DR</t>
  </si>
  <si>
    <t>Karen Baker NP</t>
  </si>
  <si>
    <t>Karen Gutierrez NP</t>
  </si>
  <si>
    <t>E0065458</t>
  </si>
  <si>
    <t>GUTIERREZ KAREN L</t>
  </si>
  <si>
    <t>GUTIERREZ KAREN</t>
  </si>
  <si>
    <t>GUTIERREZ KAREN LOUISE</t>
  </si>
  <si>
    <t>Karen Knight PA</t>
  </si>
  <si>
    <t>E0065725</t>
  </si>
  <si>
    <t>KNIGHT KAREN</t>
  </si>
  <si>
    <t>KNIGHT KAREN RPA</t>
  </si>
  <si>
    <t>Karen Konikoff NP</t>
  </si>
  <si>
    <t>E0022609</t>
  </si>
  <si>
    <t>KONIKOFF KAREN</t>
  </si>
  <si>
    <t>KONIKOFF KAREN MRS.</t>
  </si>
  <si>
    <t>KONIKOFF KAREN S</t>
  </si>
  <si>
    <t>Karen Lauricello NP</t>
  </si>
  <si>
    <t>E0057131</t>
  </si>
  <si>
    <t>LAURICELLA KAREN S</t>
  </si>
  <si>
    <t>LAURICELLA KAREN</t>
  </si>
  <si>
    <t>Karen Stevenson NP</t>
  </si>
  <si>
    <t>E0352701</t>
  </si>
  <si>
    <t>STEVENSON KAREN ANNE</t>
  </si>
  <si>
    <t>PANE KAREN MS.</t>
  </si>
  <si>
    <t>PANE KAREN ANNE</t>
  </si>
  <si>
    <t>3085 HARLEM RD</t>
  </si>
  <si>
    <t>KAREN TAYLOR PA</t>
  </si>
  <si>
    <t>Karly Benamati PA</t>
  </si>
  <si>
    <t>E0287694</t>
  </si>
  <si>
    <t>BENAMATI KARLY ANN PA</t>
  </si>
  <si>
    <t>BENAMATI KARLY</t>
  </si>
  <si>
    <t>2060 N PEARL ST</t>
  </si>
  <si>
    <t>NORTH EAST</t>
  </si>
  <si>
    <t>Katelyn McCormack NP</t>
  </si>
  <si>
    <t>E0310560</t>
  </si>
  <si>
    <t>MCCORMACK KATELYN</t>
  </si>
  <si>
    <t>MCCORMACK KATELYN ELIZABETH</t>
  </si>
  <si>
    <t>Katherine Bougard PA</t>
  </si>
  <si>
    <t>E0391348</t>
  </si>
  <si>
    <t>BOUGARD KATHERINE ELIZABETH</t>
  </si>
  <si>
    <t>BOUGARD KATHERINE</t>
  </si>
  <si>
    <t>Katherine Pierce NP</t>
  </si>
  <si>
    <t>E0049312</t>
  </si>
  <si>
    <t>PIERCE KATHERINE L</t>
  </si>
  <si>
    <t>PIERCE KATHERINE MRS.</t>
  </si>
  <si>
    <t>Katheryn Murphy NP</t>
  </si>
  <si>
    <t>E0388347</t>
  </si>
  <si>
    <t>MURPHY KATHRYN LYNN</t>
  </si>
  <si>
    <t>MURPHY KATHRYN MISS</t>
  </si>
  <si>
    <t>Kathleen Ruggiero NP</t>
  </si>
  <si>
    <t>KATHLEEN SCHIELE PA</t>
  </si>
  <si>
    <t>E0172314</t>
  </si>
  <si>
    <t>SCHIELE KATHLEEN</t>
  </si>
  <si>
    <t>SCHIELE KATHLEEN MRS.</t>
  </si>
  <si>
    <t>10744 MAIN STREET</t>
  </si>
  <si>
    <t>Kathryn Knisely PA</t>
  </si>
  <si>
    <t>Kathryn Tiutiunnyk PA</t>
  </si>
  <si>
    <t>E0288380</t>
  </si>
  <si>
    <t>TIUTIUNNYK KATHRYN RPA</t>
  </si>
  <si>
    <t>TIUTIUNNYK KATHRYN MS.</t>
  </si>
  <si>
    <t>TIUTIUNNYK KATHRYN ANN</t>
  </si>
  <si>
    <t>Kathy Kurtz NP</t>
  </si>
  <si>
    <t>Eugene Kalmuk MD</t>
  </si>
  <si>
    <t>E0210565</t>
  </si>
  <si>
    <t>KALMUK EUGENE J  MD PC</t>
  </si>
  <si>
    <t>Kim Hoyt</t>
  </si>
  <si>
    <t>(716) 893-4797</t>
  </si>
  <si>
    <t>kimberlee.hoyt@trinitymedicalwny.com</t>
  </si>
  <si>
    <t>KALMUK EUGENE</t>
  </si>
  <si>
    <t>2625 HARLEM RD STE 180</t>
  </si>
  <si>
    <t>Evette Hernandez</t>
  </si>
  <si>
    <t>Eyad Al-Hattab</t>
  </si>
  <si>
    <t>Family &amp; Childrens Services of Niagara</t>
  </si>
  <si>
    <t>Kenneth A. Sass</t>
  </si>
  <si>
    <t>Raghu Ram MD</t>
  </si>
  <si>
    <t>E0142512</t>
  </si>
  <si>
    <t>RAM RAGHU</t>
  </si>
  <si>
    <t>Ragupathy Varavenkataraman MD</t>
  </si>
  <si>
    <t>E0169828</t>
  </si>
  <si>
    <t>VARAVENKATARAMAN RAGHUPATHY M</t>
  </si>
  <si>
    <t>VARAVENKATARAMAN RAGHUPATHY</t>
  </si>
  <si>
    <t>Raja Cheruvu MD</t>
  </si>
  <si>
    <t>E0046777</t>
  </si>
  <si>
    <t>CHERUVU RAJA S MD</t>
  </si>
  <si>
    <t>CHERUVU RAJA DR.</t>
  </si>
  <si>
    <t>Rajinder S. Sachar MD</t>
  </si>
  <si>
    <t>E0237637</t>
  </si>
  <si>
    <t>SACHAR RAJINDER SINGH MD</t>
  </si>
  <si>
    <t>Jiti Sachar</t>
  </si>
  <si>
    <t>(716) 893-0900</t>
  </si>
  <si>
    <t>rssachar@yahoo.com</t>
  </si>
  <si>
    <t>SACHAR RAJINDAR</t>
  </si>
  <si>
    <t>SACHAR RAJINDER SINGH</t>
  </si>
  <si>
    <t>2848 WILLIAM ST</t>
  </si>
  <si>
    <t>Rajiv K Jain MD</t>
  </si>
  <si>
    <t>Rama Bojedla MD</t>
  </si>
  <si>
    <t>E0202456</t>
  </si>
  <si>
    <t>BOJEDLA RAMA MD</t>
  </si>
  <si>
    <t>(716) 745-7724</t>
  </si>
  <si>
    <t>rbojedla57@gmail.com</t>
  </si>
  <si>
    <t>BOJEDLA RAMA DR.</t>
  </si>
  <si>
    <t>120 LOCKPORT ST</t>
  </si>
  <si>
    <t>Ramesh Luther MD</t>
  </si>
  <si>
    <t>E0226777</t>
  </si>
  <si>
    <t>LUTHER RAMESH              MD</t>
  </si>
  <si>
    <t>LUTHER RAMESH DR.</t>
  </si>
  <si>
    <t>LUTHER RAMESH</t>
  </si>
  <si>
    <t>Ramesh Shastri MD</t>
  </si>
  <si>
    <t>E0235367</t>
  </si>
  <si>
    <t>SHASTRI R H</t>
  </si>
  <si>
    <t>(716) 674-5966</t>
  </si>
  <si>
    <t>deborahdavis@roadrunner.com</t>
  </si>
  <si>
    <t>SHASTRI RAMESH</t>
  </si>
  <si>
    <t>696 S OGDEN ST</t>
  </si>
  <si>
    <t>Randy L. Hobbs MD</t>
  </si>
  <si>
    <t>E0063682</t>
  </si>
  <si>
    <t>HOBBS RANDY L DO</t>
  </si>
  <si>
    <t>HOBBS RANDY</t>
  </si>
  <si>
    <t>Ranjan Bhayana MD</t>
  </si>
  <si>
    <t>rbhayana@buffalomedicalgroup.com</t>
  </si>
  <si>
    <t>Ranjana Luthra MD</t>
  </si>
  <si>
    <t>E0190830</t>
  </si>
  <si>
    <t>LUTHRA RANJANA MD</t>
  </si>
  <si>
    <t>Donna Cavallaro</t>
  </si>
  <si>
    <t>(716) 839-3717</t>
  </si>
  <si>
    <t>cav256@yahoo.com</t>
  </si>
  <si>
    <t>LUTHRA RANJANA DR.</t>
  </si>
  <si>
    <t>2075 KENSINGTON AVE</t>
  </si>
  <si>
    <t>Raquel G. Martin DO</t>
  </si>
  <si>
    <t>E0193908</t>
  </si>
  <si>
    <t>MARTIN RAQUEL GERTRUD MD</t>
  </si>
  <si>
    <t>(716) 697-8332</t>
  </si>
  <si>
    <t>jennifer_blackchief@teamhealth.com</t>
  </si>
  <si>
    <t>MARTIN RAQUEL</t>
  </si>
  <si>
    <t>MILLARD FILLMORE ER</t>
  </si>
  <si>
    <t>Rashida Khanam MD</t>
  </si>
  <si>
    <t>Kathleen Baehr</t>
  </si>
  <si>
    <t>nfpapllc@aol.com</t>
  </si>
  <si>
    <t>Raymond Tuoti MD</t>
  </si>
  <si>
    <t>Redlecki, Stephanie PA-C</t>
  </si>
  <si>
    <t>E0035001</t>
  </si>
  <si>
    <t>REDLECKI STEPHANIE LYNN</t>
  </si>
  <si>
    <t>REDLECKI STEPHANIE</t>
  </si>
  <si>
    <t>42 DUNHAM AVE</t>
  </si>
  <si>
    <t>Restoration Society, Inc.</t>
  </si>
  <si>
    <t>Jack Guastaferro</t>
  </si>
  <si>
    <t>(716) 832-2141</t>
  </si>
  <si>
    <t>JR6126@aol.com</t>
  </si>
  <si>
    <t>66 Englewood Avenue</t>
  </si>
  <si>
    <t>Rexford Thomas Jr MD</t>
  </si>
  <si>
    <t>Richard A Jennings MD</t>
  </si>
  <si>
    <t>Richard Bloomberg MD</t>
  </si>
  <si>
    <t>Lisa Wheeler NP</t>
  </si>
  <si>
    <t>Lissa Capuson NP</t>
  </si>
  <si>
    <t>Lori Christiano NP</t>
  </si>
  <si>
    <t>Lynda Erick NP</t>
  </si>
  <si>
    <t>E0057884</t>
  </si>
  <si>
    <t>ERICK LYNDA M</t>
  </si>
  <si>
    <t>ERICK LYNDA</t>
  </si>
  <si>
    <t>Lynda Francis PA</t>
  </si>
  <si>
    <t>E0119342</t>
  </si>
  <si>
    <t>FRANCIS LYNDA</t>
  </si>
  <si>
    <t>Margaret Bromberg NP</t>
  </si>
  <si>
    <t>E0103708</t>
  </si>
  <si>
    <t>BROMBERG MARGARET ANN</t>
  </si>
  <si>
    <t>BROMBERG MARGARET</t>
  </si>
  <si>
    <t>Maria Rizzo PA</t>
  </si>
  <si>
    <t>E0305146</t>
  </si>
  <si>
    <t>RIZZO MARIA T</t>
  </si>
  <si>
    <t>RIZZO MARIA</t>
  </si>
  <si>
    <t>martha robinson np</t>
  </si>
  <si>
    <t>E0319344</t>
  </si>
  <si>
    <t>ROBINSON MARTHA ELIZABETH</t>
  </si>
  <si>
    <t>ROBINSON MARTHA</t>
  </si>
  <si>
    <t>Mary Ciechoski NP</t>
  </si>
  <si>
    <t>Giuseppina Kenyon-Savard DO</t>
  </si>
  <si>
    <t>Tami Kaczmarek</t>
  </si>
  <si>
    <t>John C. Karpie MD</t>
  </si>
  <si>
    <t>Soosaipillai Jeyapalan MD</t>
  </si>
  <si>
    <t>E0231512</t>
  </si>
  <si>
    <t>JEYAPALAN SOOSAIPILLAI G MDPC</t>
  </si>
  <si>
    <t>JEYAPALAN SOOSAIPILLAI</t>
  </si>
  <si>
    <t>550 N LEGION DR</t>
  </si>
  <si>
    <t>Southern Tier Health Home</t>
  </si>
  <si>
    <t>Southern Tier Healthcare System, Inc</t>
  </si>
  <si>
    <t>(716) 373-0614</t>
  </si>
  <si>
    <t>dkahm@sthcs.org</t>
  </si>
  <si>
    <t>One Blue Bird Square</t>
  </si>
  <si>
    <t>E0063473</t>
  </si>
  <si>
    <t>SOUTHERN TIER PEDS PRAC PC</t>
  </si>
  <si>
    <t>southerntierpediatrics@windstream.net</t>
  </si>
  <si>
    <t>SOUTHERN TIER PEDIATRICS PRACTICE, P.C.</t>
  </si>
  <si>
    <t>SOUTHERN TIER PEDIATRICS PRACTICE</t>
  </si>
  <si>
    <t xml:space="preserve">Meghan Kurtz PA </t>
  </si>
  <si>
    <t xml:space="preserve">Michelle Lichtenthal PA </t>
  </si>
  <si>
    <t>E0065722</t>
  </si>
  <si>
    <t>LICHTENTHAL MICHELLE D</t>
  </si>
  <si>
    <t>LICHTENTHAL MICHELLE</t>
  </si>
  <si>
    <t>LICHTENTHAL MICHELLE DAWNN</t>
  </si>
  <si>
    <t xml:space="preserve">Ian Lund PA </t>
  </si>
  <si>
    <t>E0313709</t>
  </si>
  <si>
    <t>IAN THOMAS LUND</t>
  </si>
  <si>
    <t>LUND IAN</t>
  </si>
  <si>
    <t>LUND IAN THOMAS</t>
  </si>
  <si>
    <t xml:space="preserve">William Martin PA </t>
  </si>
  <si>
    <t xml:space="preserve">Kathleen McLaughlin PA </t>
  </si>
  <si>
    <t xml:space="preserve">Jennifer Meyer PA </t>
  </si>
  <si>
    <t xml:space="preserve">Adam Oberkircher PA </t>
  </si>
  <si>
    <t xml:space="preserve">Lori Pearce  PA </t>
  </si>
  <si>
    <t>E0029095</t>
  </si>
  <si>
    <t>EGLOFF LORI A RPA</t>
  </si>
  <si>
    <t>PEARCE LORI</t>
  </si>
  <si>
    <t>PEARCE LORI A RPA</t>
  </si>
  <si>
    <t xml:space="preserve">Cheryl Raczyk PA </t>
  </si>
  <si>
    <t>E0341751</t>
  </si>
  <si>
    <t>RACZYK CHERYL</t>
  </si>
  <si>
    <t xml:space="preserve">Todd Roland PA </t>
  </si>
  <si>
    <t>E0065608</t>
  </si>
  <si>
    <t>ROLAND TODD A RPA</t>
  </si>
  <si>
    <t>ROLAND TODD</t>
  </si>
  <si>
    <t xml:space="preserve">Michael Ryan PA </t>
  </si>
  <si>
    <t xml:space="preserve">Rebecca Sewastynowicz PA </t>
  </si>
  <si>
    <t>E0337276</t>
  </si>
  <si>
    <t>REBECCA SEWASTYNOWICZ</t>
  </si>
  <si>
    <t>SEWASTYNOWICZ REBECCA</t>
  </si>
  <si>
    <t xml:space="preserve">Vaughn Sheeran PA </t>
  </si>
  <si>
    <t>E0334716</t>
  </si>
  <si>
    <t>VAUGHN MARIE SHEERAN</t>
  </si>
  <si>
    <t>SHEERAN VAUGHN</t>
  </si>
  <si>
    <t>SHEERAN VAUGHN MARIE</t>
  </si>
  <si>
    <t xml:space="preserve">Andrew Stansberry PA </t>
  </si>
  <si>
    <t xml:space="preserve">Valerie  Stilb PA </t>
  </si>
  <si>
    <t xml:space="preserve">Brian Sullivan PA </t>
  </si>
  <si>
    <t>E0065756</t>
  </si>
  <si>
    <t>SULLIVAN BRIAN P RPA</t>
  </si>
  <si>
    <t>SULLIVAN BRIAN</t>
  </si>
  <si>
    <t xml:space="preserve">Todd Thomas PA </t>
  </si>
  <si>
    <t>Sarah H. Spillman DO</t>
  </si>
  <si>
    <t>E0311838</t>
  </si>
  <si>
    <t>SPILLMAN SARAH</t>
  </si>
  <si>
    <t>Sarah Worrell</t>
  </si>
  <si>
    <t>E0152518</t>
  </si>
  <si>
    <t>WORRELL SARAH G K</t>
  </si>
  <si>
    <t>WORRELL SARAH</t>
  </si>
  <si>
    <t>Sarita Kansal MD</t>
  </si>
  <si>
    <t>(716) 674-0101</t>
  </si>
  <si>
    <t>Sarwat Khawar MD</t>
  </si>
  <si>
    <t>(585) 492-3000</t>
  </si>
  <si>
    <t>sarwatk@msn.com</t>
  </si>
  <si>
    <t>Sateesh Satchidanand MD</t>
  </si>
  <si>
    <t>E0228812</t>
  </si>
  <si>
    <t>SATCHIDANAND SATEESH       MD</t>
  </si>
  <si>
    <t>SATCHIDANAND SATEESH</t>
  </si>
  <si>
    <t>Satish Arora MD</t>
  </si>
  <si>
    <t>E0151123</t>
  </si>
  <si>
    <t>ARORA SATISH K MD</t>
  </si>
  <si>
    <t>Neelam Arora</t>
  </si>
  <si>
    <t>(716) 893-3755</t>
  </si>
  <si>
    <t>Arora1099@yahoo.com</t>
  </si>
  <si>
    <t>ARORA SATISH</t>
  </si>
  <si>
    <t>2095 KENSINGTON AVE</t>
  </si>
  <si>
    <t>Saurin Popat MD</t>
  </si>
  <si>
    <t>Scott Cholewinski MD</t>
  </si>
  <si>
    <t>E0094251</t>
  </si>
  <si>
    <t>CHOLEWINSKI SCOTT MD</t>
  </si>
  <si>
    <t>CHOLEWINSKI SCOTT DR.</t>
  </si>
  <si>
    <t>Scott R Darling MD</t>
  </si>
  <si>
    <t>Betsy Rowe</t>
  </si>
  <si>
    <t>(716) 304-6585</t>
  </si>
  <si>
    <t>accountreviewservices@yahoo.com</t>
  </si>
  <si>
    <t>Chautauqua Health Network</t>
  </si>
  <si>
    <t>Northpointe Council, Inc.</t>
  </si>
  <si>
    <t>Daniel J. Shubsda</t>
  </si>
  <si>
    <t>dshubsda@northpointecouncil.org</t>
  </si>
  <si>
    <t>Claddagh Commission Inc.</t>
  </si>
  <si>
    <t>Barbara Lamoreaux</t>
  </si>
  <si>
    <t>Barbara.Lamoreaux@Claddaghcomm.org</t>
  </si>
  <si>
    <t>CLADDAGH COMMISSION, INC.</t>
  </si>
  <si>
    <t>800 Michigan Avenue</t>
  </si>
  <si>
    <t>VascuScript d/b/a Mobile Pharmacy Solutions</t>
  </si>
  <si>
    <t>Baker Hall Day</t>
  </si>
  <si>
    <t>E0285914</t>
  </si>
  <si>
    <t>BAKER HALL DAY</t>
  </si>
  <si>
    <t>Baker Victory Services (SEMP)</t>
  </si>
  <si>
    <t>E0293449</t>
  </si>
  <si>
    <t>BAKER VICTORY SERVICES SEMP</t>
  </si>
  <si>
    <t>100 MARTIN RD</t>
  </si>
  <si>
    <t>Catholic Health Home Respiratory</t>
  </si>
  <si>
    <t>E0342052</t>
  </si>
  <si>
    <t>CATHOLIC HEALTH HOME RESPIRATORY LL</t>
  </si>
  <si>
    <t>Joyce Markiewicz</t>
  </si>
  <si>
    <t>(716) 706-2305</t>
  </si>
  <si>
    <t>CATHOLIC HEALTH HOME RESPIRATORY LLC</t>
  </si>
  <si>
    <t>435 LAWRENCE BELL DR STE 12</t>
  </si>
  <si>
    <t>Cazenovia Recovery Systems, Inc. (housing)</t>
  </si>
  <si>
    <t>2671 Main Street</t>
  </si>
  <si>
    <t>Cazenovia Recovery Systems. Inc. (Casa DiVita)</t>
  </si>
  <si>
    <t>Cazenovia Recovery Systems. Inc. (Cazenovia Manor)</t>
  </si>
  <si>
    <t>486 North Legion Drive</t>
  </si>
  <si>
    <t>Cazenovia Recovery Systems. Inc. (Ivy House)</t>
  </si>
  <si>
    <t>2025 Broadway</t>
  </si>
  <si>
    <t>Cazenovia Recovery Systems. Inc. (Liberty Hall)</t>
  </si>
  <si>
    <t>222 Richmond Avenue</t>
  </si>
  <si>
    <t>Cazenovia Recovery Systems. Inc. (New Beginings)</t>
  </si>
  <si>
    <t>376 Dewitt Street</t>
  </si>
  <si>
    <t>Cazenovia Recovery Systems. Inc. (Supportive Living)</t>
  </si>
  <si>
    <t>1430 Main Street</t>
  </si>
  <si>
    <t>Cazenovia Recovery Systems. Inc. (Turning Point House)</t>
  </si>
  <si>
    <t>9136 Sandrock Road</t>
  </si>
  <si>
    <t>Chautuaqua Nursing &amp; Rehabilitation Center</t>
  </si>
  <si>
    <t>Colleen Wright</t>
  </si>
  <si>
    <t>(716) 366-6400</t>
  </si>
  <si>
    <t>10836 Temple Road</t>
  </si>
  <si>
    <t>COUNTY OF CHAUTAUQUA - A MUN CORP</t>
  </si>
  <si>
    <t>10836 TEMPLE RD</t>
  </si>
  <si>
    <t>Claddagh Commission, Inc.</t>
  </si>
  <si>
    <t>E0075402</t>
  </si>
  <si>
    <t>CLADDAGH COMMISSION SPT</t>
  </si>
  <si>
    <t>7030 Erie Road</t>
  </si>
  <si>
    <t>E0284746</t>
  </si>
  <si>
    <t>CLADDAGH COMMISSION INC FSR 2</t>
  </si>
  <si>
    <t>FSR2</t>
  </si>
  <si>
    <t>E0040567</t>
  </si>
  <si>
    <t>CLADDAGH COMMISSION INC RSP</t>
  </si>
  <si>
    <t>7200 LAKE SHORE RD</t>
  </si>
  <si>
    <t>E0075459</t>
  </si>
  <si>
    <t>CLADDAGH COMMISSION SPV</t>
  </si>
  <si>
    <t>E0040152</t>
  </si>
  <si>
    <t>CLADDAGH COMMISSION INC FSR 1</t>
  </si>
  <si>
    <t>E0074495</t>
  </si>
  <si>
    <t>CLADDAGH COMMISSION INC SMP</t>
  </si>
  <si>
    <t>Elmwood Health Center</t>
  </si>
  <si>
    <t>(716) 566-5006</t>
  </si>
  <si>
    <t>2128 Elmwod Avenue</t>
  </si>
  <si>
    <t>Erie Chapter NYSARC, Inc. d/b/a Heritage Centers (Bridges to Health)</t>
  </si>
  <si>
    <t>William McHugh</t>
  </si>
  <si>
    <t>101 Oak Street</t>
  </si>
  <si>
    <t>Faraj Touchan MD</t>
  </si>
  <si>
    <t>E0328334</t>
  </si>
  <si>
    <t>TOUCHAN FARAJ</t>
  </si>
  <si>
    <t>Farid Berenji MD</t>
  </si>
  <si>
    <t>Father Baker Manor</t>
  </si>
  <si>
    <t>E0151279</t>
  </si>
  <si>
    <t>FATHER BAKER MANOR</t>
  </si>
  <si>
    <t>WNY CATHOLIC LONG TERM CARE, INC.</t>
  </si>
  <si>
    <t>6400 POWERS RD</t>
  </si>
  <si>
    <t>Fazalur C. Rehman MD</t>
  </si>
  <si>
    <t>E0181380</t>
  </si>
  <si>
    <t>REHMAN FAZALUR C  MD</t>
  </si>
  <si>
    <t>(716) 828-2173</t>
  </si>
  <si>
    <t>rehman55@gmail.com</t>
  </si>
  <si>
    <t>REHMAN FAZALUR</t>
  </si>
  <si>
    <t>St. Elizabeth's Home</t>
  </si>
  <si>
    <t>5539 Broadway</t>
  </si>
  <si>
    <t>St. Vincent's Home</t>
  </si>
  <si>
    <t>Rachel Nees</t>
  </si>
  <si>
    <t>319 Washington Avenue</t>
  </si>
  <si>
    <t>Dunkirk</t>
  </si>
  <si>
    <t>Stanley Michalski MD</t>
  </si>
  <si>
    <t>drbob14226@roadrunner.com</t>
  </si>
  <si>
    <t>Stanley Pietrak MD</t>
  </si>
  <si>
    <t>Stephanie Soehnlein MD</t>
  </si>
  <si>
    <t>E0347330</t>
  </si>
  <si>
    <t>SOEHNLEIN STEPHANIE</t>
  </si>
  <si>
    <t>Stephen Chrzanowski MD</t>
  </si>
  <si>
    <t>Stephen D. Rycyna MD</t>
  </si>
  <si>
    <t>E0253563</t>
  </si>
  <si>
    <t>RYCYNA STEPHEN D MD        JR</t>
  </si>
  <si>
    <t>RYCYNA STEPHEN</t>
  </si>
  <si>
    <t>Stephen Downing MD</t>
  </si>
  <si>
    <t>E0068997</t>
  </si>
  <si>
    <t>CARDIOVASCULAR &amp; THORACIC SURG WNY</t>
  </si>
  <si>
    <t>Darcy Flynn</t>
  </si>
  <si>
    <t>(716) 923-9650</t>
  </si>
  <si>
    <t>dflynn@chsbuffalo.org</t>
  </si>
  <si>
    <t>DOWNING STEPHEN</t>
  </si>
  <si>
    <t>Stephen Scrivani MD</t>
  </si>
  <si>
    <t>sscrivani@limestonepcp.com</t>
  </si>
  <si>
    <t>Stephen Sobie MD</t>
  </si>
  <si>
    <t>bfloentgroup@aol.com</t>
  </si>
  <si>
    <t>Stephen Sorrentino MD</t>
  </si>
  <si>
    <t>E0111863</t>
  </si>
  <si>
    <t>SORRENTINO STEPHEN P MD</t>
  </si>
  <si>
    <t>SORRENTINO STEPHEN</t>
  </si>
  <si>
    <t>Steve B. Dofitas MD</t>
  </si>
  <si>
    <t>Steven Barnes</t>
  </si>
  <si>
    <t>Steven Barone MD</t>
  </si>
  <si>
    <t>Steven Becker MD</t>
  </si>
  <si>
    <t>E0211108</t>
  </si>
  <si>
    <t>BECKER STEVEN B            MD</t>
  </si>
  <si>
    <t>Rhonda Schlenker</t>
  </si>
  <si>
    <t>clevehill@choiceonemail.com</t>
  </si>
  <si>
    <t>BECKER STEVEN BRIAN</t>
  </si>
  <si>
    <t>Steven Buck MD</t>
  </si>
  <si>
    <t>rtc343@aol.com</t>
  </si>
  <si>
    <t>Steven Evans MD</t>
  </si>
  <si>
    <t>Steven Gasiewicz MD</t>
  </si>
  <si>
    <t>E0109165</t>
  </si>
  <si>
    <t>GASIEWICZ STEVE C MD</t>
  </si>
  <si>
    <t>GASIEWICZ STEVEN</t>
  </si>
  <si>
    <t>Steven Grabiec MD</t>
  </si>
  <si>
    <t>Steven Gregoritch MD</t>
  </si>
  <si>
    <t>E0156363</t>
  </si>
  <si>
    <t>GREGORITCH STEVEN J MD</t>
  </si>
  <si>
    <t>Andy Archer</t>
  </si>
  <si>
    <t>(716) 674-6800</t>
  </si>
  <si>
    <t>aarcher@phymedco.com</t>
  </si>
  <si>
    <t>GREGORITCH STEVEN</t>
  </si>
  <si>
    <t>Steven Horn MD</t>
  </si>
  <si>
    <t>Benjamin Rueda MD</t>
  </si>
  <si>
    <t>E0180721</t>
  </si>
  <si>
    <t>RUEDA BENJAMIN G   MD</t>
  </si>
  <si>
    <t>RUEDA BENJAMIN</t>
  </si>
  <si>
    <t>Owczarak, Katherine</t>
  </si>
  <si>
    <t>Peterson, Christine</t>
  </si>
  <si>
    <t>Pfalzer, David</t>
  </si>
  <si>
    <t>John Callahan MD</t>
  </si>
  <si>
    <t>John Carter MD</t>
  </si>
  <si>
    <t>E0069946</t>
  </si>
  <si>
    <t>CARTER JOHN M MD</t>
  </si>
  <si>
    <t>John Dzik MD</t>
  </si>
  <si>
    <t>John G Fahrbach IV MD</t>
  </si>
  <si>
    <t>John Hall MD</t>
  </si>
  <si>
    <t>John Hellriegel MD</t>
  </si>
  <si>
    <t>jhellrie@roadrunner.com</t>
  </si>
  <si>
    <t>John Huebschmann MD</t>
  </si>
  <si>
    <t>E0023024</t>
  </si>
  <si>
    <t>HUEBSCHMANN JOHN CHARLES MD</t>
  </si>
  <si>
    <t>HUEBSCHMANN JOHN DR.</t>
  </si>
  <si>
    <t>John Hurley DPM</t>
  </si>
  <si>
    <t>John J. Cai MD</t>
  </si>
  <si>
    <t>E0026855</t>
  </si>
  <si>
    <t>CAI JOHN JUN  MD</t>
  </si>
  <si>
    <t>Amanda F</t>
  </si>
  <si>
    <t>(716) 844-8754</t>
  </si>
  <si>
    <t>johncaimd@gmail.com</t>
  </si>
  <si>
    <t>CAI JOHN</t>
  </si>
  <si>
    <t>John Kavcic MD</t>
  </si>
  <si>
    <t>E0089311</t>
  </si>
  <si>
    <t>KAVCIC JOHN M MD</t>
  </si>
  <si>
    <t>KAVCIC JOHN DR.</t>
  </si>
  <si>
    <t>John Krzan MD</t>
  </si>
  <si>
    <t>Mary Krzan</t>
  </si>
  <si>
    <t>hamburgpeds@choiceonemail.com</t>
  </si>
  <si>
    <t>John L. O'Donnell MD</t>
  </si>
  <si>
    <t>E0158484</t>
  </si>
  <si>
    <t>O'DONNELL JOHN L MD</t>
  </si>
  <si>
    <t>Maureen Finnegan</t>
  </si>
  <si>
    <t>(716) 662-8083</t>
  </si>
  <si>
    <t>mrsfinnegan@aol.com</t>
  </si>
  <si>
    <t>O'DONNELL JOHN</t>
  </si>
  <si>
    <t>BGH ORTHOPAEDIC SVC</t>
  </si>
  <si>
    <t>John Leddy MD</t>
  </si>
  <si>
    <t>John M. Fitzgerald MD</t>
  </si>
  <si>
    <t>E0035288</t>
  </si>
  <si>
    <t>FITZGERALD JOHN MICHAEL</t>
  </si>
  <si>
    <t>sailfin@verizon.net</t>
  </si>
  <si>
    <t>FITZGERALD JOHN DR.</t>
  </si>
  <si>
    <t>John Menchini MD</t>
  </si>
  <si>
    <t>John Mulawka</t>
  </si>
  <si>
    <t>Kristine Fox</t>
  </si>
  <si>
    <t>dsdpediatrics@yahoo.com</t>
  </si>
  <si>
    <t>Prac Other C PCP</t>
  </si>
  <si>
    <t>John P Ward DO</t>
  </si>
  <si>
    <t>E0163248</t>
  </si>
  <si>
    <t>WARD JOHN P DO</t>
  </si>
  <si>
    <t>Donna Ward</t>
  </si>
  <si>
    <t>(716) 655-5019</t>
  </si>
  <si>
    <t>ward119@yahoo.com</t>
  </si>
  <si>
    <t>WARD JOHN DR.</t>
  </si>
  <si>
    <t>John Pollina MD</t>
  </si>
  <si>
    <t>Julie Juzdowski</t>
  </si>
  <si>
    <t>jjuzdowski@ubns.com</t>
  </si>
  <si>
    <t>John Repicci MD</t>
  </si>
  <si>
    <t>E0234321</t>
  </si>
  <si>
    <t>REPICCI JOHN A             MD</t>
  </si>
  <si>
    <t>REPICCI JOHN DR.</t>
  </si>
  <si>
    <t>Mary Rykert Wolf MD</t>
  </si>
  <si>
    <t>Mary Schumer</t>
  </si>
  <si>
    <t>E0107482</t>
  </si>
  <si>
    <t>SCHUMER MARY LOUISE</t>
  </si>
  <si>
    <t>SCHUMER MARY</t>
  </si>
  <si>
    <t>Mary Smith</t>
  </si>
  <si>
    <t>Mary Turkiewicz MD</t>
  </si>
  <si>
    <t>E0162792</t>
  </si>
  <si>
    <t>TURKIEWICZ MARY LOUISE MD</t>
  </si>
  <si>
    <t>buffatty@aol.com</t>
  </si>
  <si>
    <t>TURKIEWICZ MARY DR.</t>
  </si>
  <si>
    <t>ABBOTT RADIOLOGY</t>
  </si>
  <si>
    <t>Matthew Antalek DO</t>
  </si>
  <si>
    <t>Laura Morgan</t>
  </si>
  <si>
    <t>llszazu@hotmail.com</t>
  </si>
  <si>
    <t>Matthew Cywinski MD</t>
  </si>
  <si>
    <t>(716) 834-4237</t>
  </si>
  <si>
    <t>mcywinski@buffalomedicalgroup.com</t>
  </si>
  <si>
    <t>Matthew McClure MD</t>
  </si>
  <si>
    <t>E0333568</t>
  </si>
  <si>
    <t>MCCLURE MATTHEW GILMOUR</t>
  </si>
  <si>
    <t>MCCLURE MATTHEW DR.</t>
  </si>
  <si>
    <t>Matthew Missert DO</t>
  </si>
  <si>
    <t>E0337176</t>
  </si>
  <si>
    <t>MISSERT MATTHEW JOHN</t>
  </si>
  <si>
    <t>matthew.missert@gmail.com</t>
  </si>
  <si>
    <t>MISSERT MATTHEW DR.</t>
  </si>
  <si>
    <t>Matthew Smith MD</t>
  </si>
  <si>
    <t>Matthew Wehr</t>
  </si>
  <si>
    <t>Matthew Zinno DO</t>
  </si>
  <si>
    <t>E0337929</t>
  </si>
  <si>
    <t>ZINNO MATTHEW JOSEPH</t>
  </si>
  <si>
    <t>Maxine Vanauker</t>
  </si>
  <si>
    <t>schlehrmdwms@verizon.net</t>
  </si>
  <si>
    <t>ZINNO MATTHEW DR.</t>
  </si>
  <si>
    <t>8750 TRANSIT RD STE 105</t>
  </si>
  <si>
    <t>Maurice Hourihane MD</t>
  </si>
  <si>
    <t>Elizabeth Brigandi</t>
  </si>
  <si>
    <t>ebrigandi@dentinstitute.com</t>
  </si>
  <si>
    <t>McAuley Seton Home Care</t>
  </si>
  <si>
    <t>E0191798</t>
  </si>
  <si>
    <t>MCAULEY-SETON HOME CARE CORP.</t>
  </si>
  <si>
    <t>MCAULEY SETON HOME CARE CORPORATION</t>
  </si>
  <si>
    <t>James Smaldino SLP</t>
  </si>
  <si>
    <t>E0079154</t>
  </si>
  <si>
    <t>SMALDINO JAMES</t>
  </si>
  <si>
    <t>RCPI CLINICAL PRAC</t>
  </si>
  <si>
    <t>AMHURST</t>
  </si>
  <si>
    <t>Amy Sumbrum SLP</t>
  </si>
  <si>
    <t>E0020978</t>
  </si>
  <si>
    <t>SUMBRUM AMY LYNN SP</t>
  </si>
  <si>
    <t>SUMBRUM AMY</t>
  </si>
  <si>
    <t>Lindsay Wachowiak SLP</t>
  </si>
  <si>
    <t>E0289228</t>
  </si>
  <si>
    <t>WACHOWIAK LINDSAY</t>
  </si>
  <si>
    <t>WACHOWIAK LINDSAY MARIE SLP</t>
  </si>
  <si>
    <t>TOMS BILLY</t>
  </si>
  <si>
    <t>E0174380</t>
  </si>
  <si>
    <t>TOMS BILL R MD</t>
  </si>
  <si>
    <t>MEAGHER BRIAN MR.</t>
  </si>
  <si>
    <t>E0143186</t>
  </si>
  <si>
    <t>MEAGHER BRIAN D MD</t>
  </si>
  <si>
    <t>MEAGHER BRIAN DECLAN MD</t>
  </si>
  <si>
    <t>JAMESTOWN RAD.PC</t>
  </si>
  <si>
    <t>Prac Other C Non PCP</t>
  </si>
  <si>
    <t>DAHLIE JAMES MR.</t>
  </si>
  <si>
    <t>E0240559</t>
  </si>
  <si>
    <t>DAHLIE JAMES G             MD</t>
  </si>
  <si>
    <t>MUNTZ JON DR.</t>
  </si>
  <si>
    <t>E0175274</t>
  </si>
  <si>
    <t>MUNTZ JON ALAN MD</t>
  </si>
  <si>
    <t>BROOKS MEMORIAL HOSP</t>
  </si>
  <si>
    <t>POTHINI GOURI</t>
  </si>
  <si>
    <t>E0305351</t>
  </si>
  <si>
    <t>POTHINI GOURI BHAWAN</t>
  </si>
  <si>
    <t>320 PRATHER AVE STE 100&amp;200</t>
  </si>
  <si>
    <t>GRITTERS LYNDON MR.</t>
  </si>
  <si>
    <t>E0134152</t>
  </si>
  <si>
    <t>GRITTERS LYNDON SCOTT MD</t>
  </si>
  <si>
    <t>THAYER TAMMY NP</t>
  </si>
  <si>
    <t>E0043786</t>
  </si>
  <si>
    <t>THAYER TAMMY M</t>
  </si>
  <si>
    <t>THAYER TAMMY</t>
  </si>
  <si>
    <t>THAYER TAMMY MICHELLE</t>
  </si>
  <si>
    <t>TONGER CONNIE JO NP</t>
  </si>
  <si>
    <t>E0108568</t>
  </si>
  <si>
    <t>TONGER CONNIE JO</t>
  </si>
  <si>
    <t>17 SHERMAN ST</t>
  </si>
  <si>
    <t>Waseya Cornell MD</t>
  </si>
  <si>
    <t>E0289840</t>
  </si>
  <si>
    <t>CORNELL WASEYA ALICIA MD</t>
  </si>
  <si>
    <t>CORNELL WASEYA</t>
  </si>
  <si>
    <t>Waterfront Operations Associates, LLC</t>
  </si>
  <si>
    <t>E0364894</t>
  </si>
  <si>
    <t>WATERFRONT OPERATIONS ASSOC LLC</t>
  </si>
  <si>
    <t>Nicole Gallagher</t>
  </si>
  <si>
    <t>Ngallagher@waterfrontrehab.net</t>
  </si>
  <si>
    <t>WATERFRONT OPERATIONS ASSOCIATES LLC</t>
  </si>
  <si>
    <t>Wendy Gellman MD</t>
  </si>
  <si>
    <t>E0122824</t>
  </si>
  <si>
    <t>GELLMAN WENDY I</t>
  </si>
  <si>
    <t>GELLMAN WENDY</t>
  </si>
  <si>
    <t>Western New York Clinical Information Exchange, Inc d/b/a HEALTHeLINK</t>
  </si>
  <si>
    <t>Daniel Porreca, Executive Director</t>
  </si>
  <si>
    <t>(716) 206-0993</t>
  </si>
  <si>
    <t>dporreca@wnyhealthelink.com</t>
  </si>
  <si>
    <t xml:space="preserve">2568 Walden Ave, Suite 107
</t>
  </si>
  <si>
    <t>Westfield Memorial Hospital</t>
  </si>
  <si>
    <t>E0263719</t>
  </si>
  <si>
    <t>WESTFIELD MEMORIAL HOSPITAL</t>
  </si>
  <si>
    <t>Patty Ballman</t>
  </si>
  <si>
    <t>(716) 793-2201</t>
  </si>
  <si>
    <t>pballman@svhs.org</t>
  </si>
  <si>
    <t>WESTFIELD MEMORIAL HOSPITAL, INC.</t>
  </si>
  <si>
    <t>Whitmore, Metivia PA-C</t>
  </si>
  <si>
    <t>E0300256</t>
  </si>
  <si>
    <t>WHITMORE METIVIA-ANNE</t>
  </si>
  <si>
    <t>WHITMORE METIVIA MRS.</t>
  </si>
  <si>
    <t>William B. Cline MD</t>
  </si>
  <si>
    <t>William Barone DO</t>
  </si>
  <si>
    <t>E0032283</t>
  </si>
  <si>
    <t>BARONE WILLIAM DAVID</t>
  </si>
  <si>
    <t>BARONE WILLIAM</t>
  </si>
  <si>
    <t>William Belles MD</t>
  </si>
  <si>
    <t>Valerie Belles</t>
  </si>
  <si>
    <t>sinuscenter@hotmail.com</t>
  </si>
  <si>
    <t>William C. Schueler DO</t>
  </si>
  <si>
    <t>William Flynn MD</t>
  </si>
  <si>
    <t>Rosemary Boerschig</t>
  </si>
  <si>
    <t>(716) 898-5269</t>
  </si>
  <si>
    <t>rboersch@ecmc.edu</t>
  </si>
  <si>
    <t>William J. Lagaly DO</t>
  </si>
  <si>
    <t>E0315890</t>
  </si>
  <si>
    <t>LAGALY WILLIAM J</t>
  </si>
  <si>
    <t>David Peterson</t>
  </si>
  <si>
    <t>(716) 828-2330</t>
  </si>
  <si>
    <t>dpeterson@chsbuffalo.org</t>
  </si>
  <si>
    <t>LAGALY WILLIAM</t>
  </si>
  <si>
    <t>William Morris MD</t>
  </si>
  <si>
    <t>William R Kuehnling MD</t>
  </si>
  <si>
    <t>William Stephan MD</t>
  </si>
  <si>
    <t>E0147168</t>
  </si>
  <si>
    <t>STEPHAN WILLIAM H MD</t>
  </si>
  <si>
    <t>(716) 875-7399</t>
  </si>
  <si>
    <t>drwhs@netzero.com</t>
  </si>
  <si>
    <t>STEPHAN WILLIAM</t>
  </si>
  <si>
    <t>William Wind MD</t>
  </si>
  <si>
    <t>alw7@buffalo.edu</t>
  </si>
  <si>
    <t>Lawrence Krol MD</t>
  </si>
  <si>
    <t>Lawrence Rand MD</t>
  </si>
  <si>
    <t>E0191246</t>
  </si>
  <si>
    <t>RAND LAWRENCE G MD</t>
  </si>
  <si>
    <t>RAND LAWRENCE</t>
  </si>
  <si>
    <t>Lawrence Sinatra MD</t>
  </si>
  <si>
    <t>ltsinmd@roadrunner.com</t>
  </si>
  <si>
    <t>Lee C. Ruotsi MD</t>
  </si>
  <si>
    <t>E0184962</t>
  </si>
  <si>
    <t>RUOTSI LEE CHARLES MD</t>
  </si>
  <si>
    <t>Kristie Coleman</t>
  </si>
  <si>
    <t>(716) 891-2570</t>
  </si>
  <si>
    <t>kcoleman@chsbuffalo.org</t>
  </si>
  <si>
    <t>RUOTSI LEE DR.</t>
  </si>
  <si>
    <t>Lee Guterman MD,PhD</t>
  </si>
  <si>
    <t>(716) 803-1504</t>
  </si>
  <si>
    <t>Family Help Center</t>
  </si>
  <si>
    <t>Deborah A. Merrifield</t>
  </si>
  <si>
    <t>(716) 822-0919</t>
  </si>
  <si>
    <t>60 Dingens Street</t>
  </si>
  <si>
    <t>Donna Possenti</t>
  </si>
  <si>
    <t>Learning Disabilities Association of WNY</t>
  </si>
  <si>
    <t>E0040969</t>
  </si>
  <si>
    <t>LEARNING DISAB ASSOC WNY RSP</t>
  </si>
  <si>
    <t>Mike Helman</t>
  </si>
  <si>
    <t>(716) 874-7200</t>
  </si>
  <si>
    <t>2555 Elmwood Avenue</t>
  </si>
  <si>
    <t>2555 ELMWOOD AVE</t>
  </si>
  <si>
    <t>E0099853</t>
  </si>
  <si>
    <t>OMRDD/LEARNING DISABLITS WN</t>
  </si>
  <si>
    <t>LEARNING DISABILITIES WESTERN NY</t>
  </si>
  <si>
    <t>E0075335</t>
  </si>
  <si>
    <t>LEARNING DISAB ASSOC WNY  SPV</t>
  </si>
  <si>
    <t>E0082925</t>
  </si>
  <si>
    <t>LDA OF WNY SMP</t>
  </si>
  <si>
    <t>E0030246</t>
  </si>
  <si>
    <t>LEARNING DISABILITIES WNY DAY</t>
  </si>
  <si>
    <t>Parkview Health Services, LLC</t>
  </si>
  <si>
    <t>Robert Oleary</t>
  </si>
  <si>
    <t>1770 Colvin Boulevard</t>
  </si>
  <si>
    <t>People Inc.</t>
  </si>
  <si>
    <t>E0308601</t>
  </si>
  <si>
    <t>PEOPLE INC CSS Z23</t>
  </si>
  <si>
    <t>Rhonda Frederick CEO</t>
  </si>
  <si>
    <t>1219 North Forest Rd.</t>
  </si>
  <si>
    <t>E0025584</t>
  </si>
  <si>
    <t>PEOPLE INC CSS 3</t>
  </si>
  <si>
    <t>E0026255</t>
  </si>
  <si>
    <t>PEOPLE INC CSS 2</t>
  </si>
  <si>
    <t>E0002131</t>
  </si>
  <si>
    <t>PEOPLE INC CSS 14</t>
  </si>
  <si>
    <t>E0009269</t>
  </si>
  <si>
    <t>PEOPLE INC CSS 13</t>
  </si>
  <si>
    <t>E0002130</t>
  </si>
  <si>
    <t>PEOPLE INC CSS 11</t>
  </si>
  <si>
    <t>E0029779</t>
  </si>
  <si>
    <t>AGAPE PARENT FELLOWSHIP DAY</t>
  </si>
  <si>
    <t>E0343720</t>
  </si>
  <si>
    <t>PEOPLE INC CSSZ35</t>
  </si>
  <si>
    <t>E0005591</t>
  </si>
  <si>
    <t>PEOPLE INC CSSZ16</t>
  </si>
  <si>
    <t>E0014898</t>
  </si>
  <si>
    <t>PEOPLE INC CSS 08</t>
  </si>
  <si>
    <t>E0060946</t>
  </si>
  <si>
    <t>PEOPLE SERVICE TO THE HCBS 9</t>
  </si>
  <si>
    <t>1219 N FOREST RD # VVD1926</t>
  </si>
  <si>
    <t>E0340363</t>
  </si>
  <si>
    <t>PEOPLE INC CSSZ32</t>
  </si>
  <si>
    <t>E0126318</t>
  </si>
  <si>
    <t>PEOPLE SRVICE TO THE DD HCBS3</t>
  </si>
  <si>
    <t>1219 N FOREST RD # VVB1100</t>
  </si>
  <si>
    <t>E0301021</t>
  </si>
  <si>
    <t>PEOPLE INC CSSZ22</t>
  </si>
  <si>
    <t>E0029025</t>
  </si>
  <si>
    <t>PEOPLE INC HCBS 11</t>
  </si>
  <si>
    <t>1219 N FOREST RD # VVD2204</t>
  </si>
  <si>
    <t>E0344096</t>
  </si>
  <si>
    <t>PEOPLE INC CSSZ38</t>
  </si>
  <si>
    <t>E0343721</t>
  </si>
  <si>
    <t>PEOPLE INC CSSZ37</t>
  </si>
  <si>
    <t>E0343722</t>
  </si>
  <si>
    <t>PEOPLE INC CSSZ36</t>
  </si>
  <si>
    <t>E0340385</t>
  </si>
  <si>
    <t>PEOPLE INC CSSZ30</t>
  </si>
  <si>
    <t>E0340368</t>
  </si>
  <si>
    <t>PEOPLE INC CSSZ29</t>
  </si>
  <si>
    <t>E0340359</t>
  </si>
  <si>
    <t>PEOPLE INC CSSZ28</t>
  </si>
  <si>
    <t>E0334989</t>
  </si>
  <si>
    <t>PEOPLE INC CSSZ27</t>
  </si>
  <si>
    <t>E0327170</t>
  </si>
  <si>
    <t>PEOPLE INC CSSZ26</t>
  </si>
  <si>
    <t>E0314935</t>
  </si>
  <si>
    <t>PEOPLE INC CSSZ24</t>
  </si>
  <si>
    <t>E0343647</t>
  </si>
  <si>
    <t>PEOPLE INC CSSZ33</t>
  </si>
  <si>
    <t>E0082988</t>
  </si>
  <si>
    <t>PEOPLE SRVICE TO THE DEV SMP</t>
  </si>
  <si>
    <t>Rivershore, Inc</t>
  </si>
  <si>
    <t>Jay Mapstone</t>
  </si>
  <si>
    <t>(716) 754-7272</t>
  </si>
  <si>
    <t>765 Cayuga Street</t>
  </si>
  <si>
    <t>Suburban Adult Services (SASi)</t>
  </si>
  <si>
    <t>E0301217</t>
  </si>
  <si>
    <t>SUBURBAN ADULT SERVICES INC SPT</t>
  </si>
  <si>
    <t>Karen Gustina</t>
  </si>
  <si>
    <t>960 Maple Rd.</t>
  </si>
  <si>
    <t>960 WEST MAPLE COURT</t>
  </si>
  <si>
    <t>E0099646</t>
  </si>
  <si>
    <t>OMRDD/SUBURBAN ADULT SVCS-WNY</t>
  </si>
  <si>
    <t>SUBURBAN ADULT SERVICES-WNY</t>
  </si>
  <si>
    <t>E0099647</t>
  </si>
  <si>
    <t>OMRDD/SUBURBAN ADULT SVCS-FL</t>
  </si>
  <si>
    <t>SUBURBAN ADULT SERVICES-FL</t>
  </si>
  <si>
    <t>E0310810</t>
  </si>
  <si>
    <t>SUMMIT EDUCATIONAL RESOURCES</t>
  </si>
  <si>
    <t>Stephen Anderson</t>
  </si>
  <si>
    <t>(716) 629-3425</t>
  </si>
  <si>
    <t>150 Stahl Road</t>
  </si>
  <si>
    <t>SUMMIT EDUCATIONAL RESOURCES, INC.</t>
  </si>
  <si>
    <t>E0026993</t>
  </si>
  <si>
    <t>UCPA NIAGARA CO INC ND 4</t>
  </si>
  <si>
    <t>UCPA NIAGARA CO INC SPT</t>
  </si>
  <si>
    <t>E0074819</t>
  </si>
  <si>
    <t>UCPA NIAGARA COUNTY INC  SPV</t>
  </si>
  <si>
    <t>E0083068</t>
  </si>
  <si>
    <t>UCPA NIAGARA COUNTY INC SMP</t>
  </si>
  <si>
    <t>Pope, Tylica</t>
  </si>
  <si>
    <t>Redick, Robert</t>
  </si>
  <si>
    <t>Richir, Theresa</t>
  </si>
  <si>
    <t>Roggow, Susanne</t>
  </si>
  <si>
    <t>Rummell, Joan</t>
  </si>
  <si>
    <t>Sainsbury, Dawnmarie</t>
  </si>
  <si>
    <t>Scarozza, Jennifer</t>
  </si>
  <si>
    <t>Schlemm, Laura</t>
  </si>
  <si>
    <t>Siepierski, Rebecca</t>
  </si>
  <si>
    <t>Skolikas, Martha</t>
  </si>
  <si>
    <t>Smith, Karen</t>
  </si>
  <si>
    <t>Smith, Kevin</t>
  </si>
  <si>
    <t>Spittal-Ashby, Susan</t>
  </si>
  <si>
    <t>Stanko, Wesley</t>
  </si>
  <si>
    <t>Tanhehco, Meliton</t>
  </si>
  <si>
    <t>Tebo, Leslie</t>
  </si>
  <si>
    <t>Valvo, Krystal</t>
  </si>
  <si>
    <t>Varga, Margaret</t>
  </si>
  <si>
    <t>Volanis, Georgina</t>
  </si>
  <si>
    <t>Wabick, Jarod</t>
  </si>
  <si>
    <t>Williams, Christine</t>
  </si>
  <si>
    <t>Wood, Catherine</t>
  </si>
  <si>
    <t>Zemla, Vickie</t>
  </si>
  <si>
    <t>Zimmerman, Karen</t>
  </si>
  <si>
    <t>Krista Przybelinski</t>
  </si>
  <si>
    <t>Andrea Verrastro NP</t>
  </si>
  <si>
    <t>E0065477</t>
  </si>
  <si>
    <t>VERRASTRO ANDREA ELIZABETH</t>
  </si>
  <si>
    <t>GUNNELLS ANDREA</t>
  </si>
  <si>
    <t>Andrew Hopkins PA</t>
  </si>
  <si>
    <t>HOPKINS ANDREW MR.</t>
  </si>
  <si>
    <t>Andrew Polla PA</t>
  </si>
  <si>
    <t>Angel Macko PA</t>
  </si>
  <si>
    <t>E0332425</t>
  </si>
  <si>
    <t>ANGEL M MACKO</t>
  </si>
  <si>
    <t>SZKUTAK ANGEL</t>
  </si>
  <si>
    <t>MACKO ANGEL M</t>
  </si>
  <si>
    <t>10626 MAIN ST</t>
  </si>
  <si>
    <t>Angela Potter PA</t>
  </si>
  <si>
    <t>E0006488</t>
  </si>
  <si>
    <t>JARNOT ANGELA MARIE</t>
  </si>
  <si>
    <t>POTTER ANGELA</t>
  </si>
  <si>
    <t>JARNOT ANGELA MARIE RPA</t>
  </si>
  <si>
    <t>MedFirst Urgent Care, PLLC dba MASH Urgent Care</t>
  </si>
  <si>
    <t>E0389117</t>
  </si>
  <si>
    <t>MEDFIRST URGENT CARE PLLC</t>
  </si>
  <si>
    <t>Mark Pundt, MD</t>
  </si>
  <si>
    <t>(716) 580-1801</t>
  </si>
  <si>
    <t>mpundt@proesinc.com</t>
  </si>
  <si>
    <t>MEDFIRST URGENT CARE, PLLC</t>
  </si>
  <si>
    <t>Medina Memorial Hospital</t>
  </si>
  <si>
    <t>Notaro, Julie</t>
  </si>
  <si>
    <t>Sydney Grabau NP</t>
  </si>
  <si>
    <t>E0388697</t>
  </si>
  <si>
    <t>GRABAU SYDNEY</t>
  </si>
  <si>
    <t>GRABAU SYDNEY BAILEY</t>
  </si>
  <si>
    <t>TABRINA SCHREIER PA</t>
  </si>
  <si>
    <t>E0057062</t>
  </si>
  <si>
    <t>SCHREIER TABRINA S</t>
  </si>
  <si>
    <t>SCHREIER TABRINA</t>
  </si>
  <si>
    <t>TALIA SZYMANSKI PA</t>
  </si>
  <si>
    <t>Tanya Geist RPA-C</t>
  </si>
  <si>
    <t>E0049662</t>
  </si>
  <si>
    <t>GEIST TANYA S</t>
  </si>
  <si>
    <t>GEIST TANYA</t>
  </si>
  <si>
    <t>tara brewer pa</t>
  </si>
  <si>
    <t>E0311002</t>
  </si>
  <si>
    <t>BREWER TARA J</t>
  </si>
  <si>
    <t>BREWER TARA</t>
  </si>
  <si>
    <t>BREWER TARA JO</t>
  </si>
  <si>
    <t>Tara Haynes PA</t>
  </si>
  <si>
    <t>E0428980</t>
  </si>
  <si>
    <t>HAYNES TARA ELIZABETH</t>
  </si>
  <si>
    <t>HAYNES TARA</t>
  </si>
  <si>
    <t>TARA RICHARDS PA</t>
  </si>
  <si>
    <t>Theodore Steinwachs PA</t>
  </si>
  <si>
    <t>E0172735</t>
  </si>
  <si>
    <t>STEINWACHS THEODORE M RPA</t>
  </si>
  <si>
    <t>STEINWACHS THEODORE MR.</t>
  </si>
  <si>
    <t>Tiffany Card PA</t>
  </si>
  <si>
    <t>Todd Covel PA</t>
  </si>
  <si>
    <t>E0103639</t>
  </si>
  <si>
    <t>COVEL TODD M RPA</t>
  </si>
  <si>
    <t>COVEL TODD</t>
  </si>
  <si>
    <t>Toni Ventrilla PA</t>
  </si>
  <si>
    <t>E0392674</t>
  </si>
  <si>
    <t>TONI MARIE VENTRILLA PA</t>
  </si>
  <si>
    <t>VENTRILLA TONI</t>
  </si>
  <si>
    <t>VENTRILLA TONI MARIE</t>
  </si>
  <si>
    <t>Tonya Gruttaria NP</t>
  </si>
  <si>
    <t>E0062257</t>
  </si>
  <si>
    <t>GRUTTARIA TONYA LEA</t>
  </si>
  <si>
    <t>GRUTTARIA TONYA MRS.</t>
  </si>
  <si>
    <t>Tricia DiFranco PA</t>
  </si>
  <si>
    <t>DIFRANCO TRICIA MRS.</t>
  </si>
  <si>
    <t>Richard Carlson, Jr. MD</t>
  </si>
  <si>
    <t>Richard Curran MD</t>
  </si>
  <si>
    <t>Richard D. Kaplan MD</t>
  </si>
  <si>
    <t>Richard Elman MD</t>
  </si>
  <si>
    <t>E0234333</t>
  </si>
  <si>
    <t>ELMAN RICHARD S MD</t>
  </si>
  <si>
    <t>ELMAN RICHARD</t>
  </si>
  <si>
    <t>244 EAST MAIN ST</t>
  </si>
  <si>
    <t>Richard Ferguson MD</t>
  </si>
  <si>
    <t>Ruth Murphy</t>
  </si>
  <si>
    <t>rmurphy771@verizon.net</t>
  </si>
  <si>
    <t>Richard J Buckley Jr MD</t>
  </si>
  <si>
    <t>ricbuckley@gmail.com</t>
  </si>
  <si>
    <t>Richard Kessler MD</t>
  </si>
  <si>
    <t>E0117898</t>
  </si>
  <si>
    <t>KESSLER RICHARD A MD</t>
  </si>
  <si>
    <t>KESSLER RICHARD</t>
  </si>
  <si>
    <t>Richard N. Gilbert MD</t>
  </si>
  <si>
    <t>Richard Ruh MD</t>
  </si>
  <si>
    <t>Richard Steinacher DO</t>
  </si>
  <si>
    <t>Riedesel, Jeremy MD</t>
  </si>
  <si>
    <t>E0309742</t>
  </si>
  <si>
    <t>RIEDESEL JEREMY MARTIN</t>
  </si>
  <si>
    <t>RIEDESEL JEREMY DR.</t>
  </si>
  <si>
    <t>Rita Sloan MD</t>
  </si>
  <si>
    <t>E0115747</t>
  </si>
  <si>
    <t>SLOAN RITA ROSE</t>
  </si>
  <si>
    <t>SLOAN RITA DR.</t>
  </si>
  <si>
    <t>Robbert J. Salis MD</t>
  </si>
  <si>
    <t>Wolf-Dieter Krahn</t>
  </si>
  <si>
    <t>E0196543</t>
  </si>
  <si>
    <t>KRAHN WOLF-DIETER          MD</t>
  </si>
  <si>
    <t>KRAHN WOLF-DIETER</t>
  </si>
  <si>
    <t>Women's Christian Association Hospital dba WCA Hospital</t>
  </si>
  <si>
    <t>E0263718</t>
  </si>
  <si>
    <t>WOMANS CHRISTIAN ASSOCIATION</t>
  </si>
  <si>
    <t>Dan Tota</t>
  </si>
  <si>
    <t>(716) 664-8445</t>
  </si>
  <si>
    <t>dan.tota@wcahospital.org</t>
  </si>
  <si>
    <t>UPMC CHAUTAUQUA AT WCA</t>
  </si>
  <si>
    <t>WOMAN'S CHRISTIAN ASSOCIATION HOSPITAL</t>
  </si>
  <si>
    <t>WOMANS CHRISTIAN ASSOCIATION HOSPIT</t>
  </si>
  <si>
    <t>E0321796</t>
  </si>
  <si>
    <t>(716) 664-8446</t>
  </si>
  <si>
    <t>Won Sam Yi MD</t>
  </si>
  <si>
    <t>EUNSAM213@hotmail.com</t>
  </si>
  <si>
    <t>Xiuli Li MD</t>
  </si>
  <si>
    <t>Y. R. Kumar MD</t>
  </si>
  <si>
    <t>E0109841</t>
  </si>
  <si>
    <t>KUMAR YELLAMRAJU R MD</t>
  </si>
  <si>
    <t>KUMAR YELLAMRAJU</t>
  </si>
  <si>
    <t>610 CLINTON ST</t>
  </si>
  <si>
    <t>COWLESVILLE</t>
  </si>
  <si>
    <t>Yashash Pathak MD</t>
  </si>
  <si>
    <t>E0334627</t>
  </si>
  <si>
    <t>PATHAK YASHASH</t>
  </si>
  <si>
    <t>(813) 484-7838</t>
  </si>
  <si>
    <t>PATHAK YASHASH DHRUVKUMAR</t>
  </si>
  <si>
    <t>Yasmin Pervez MD</t>
  </si>
  <si>
    <t>Lisa .</t>
  </si>
  <si>
    <t>ypervez273@gmail.com</t>
  </si>
  <si>
    <t>CONNER GEORGE</t>
  </si>
  <si>
    <t>E0231019</t>
  </si>
  <si>
    <t>CONNER GEORGE W MD</t>
  </si>
  <si>
    <t>W C A HOSPITAL</t>
  </si>
  <si>
    <t>SCHRECENGOST JOHN</t>
  </si>
  <si>
    <t>E0034333</t>
  </si>
  <si>
    <t>SCHRECENGOST JOHN EDWIN MD</t>
  </si>
  <si>
    <t>SCHRECENGOST JOHN EDWIN</t>
  </si>
  <si>
    <t>1415 PORTLAND AVE STE 255</t>
  </si>
  <si>
    <t>FRITZ WILLIAM DR.</t>
  </si>
  <si>
    <t>E0313496</t>
  </si>
  <si>
    <t>WILLIAM D FRITZ MD</t>
  </si>
  <si>
    <t>FRITZ WILLIAM DANIEL  MD</t>
  </si>
  <si>
    <t>FAULK MICHAEL</t>
  </si>
  <si>
    <t>E0288945</t>
  </si>
  <si>
    <t>MICHAEL WELLINGTON FAULK</t>
  </si>
  <si>
    <t>FAULK MICHAEL WELLINGTON</t>
  </si>
  <si>
    <t>ALDRICH LINDSAY</t>
  </si>
  <si>
    <t>E0004389</t>
  </si>
  <si>
    <t>LUNDIN LINDSAY ANN RPA</t>
  </si>
  <si>
    <t>(716) 487-1124</t>
  </si>
  <si>
    <t>ALDRICH LINDSAY ANN RPA</t>
  </si>
  <si>
    <t>Erie Chapter NYSARC, Inc. d/b/a Heritage Centers (DHB PRV RHB PCS)</t>
  </si>
  <si>
    <t>Erie Chapter NYSARC, Inc. d/b/a Heritage Centers (Family Education &amp; Training)</t>
  </si>
  <si>
    <t>Erie Chapter NYSARC, Inc. d/b/a Heritage Centers (Medicaid Service Coordination)</t>
  </si>
  <si>
    <t>Erie Chapter NYSARC, Inc. d/b/a Heritage Centers (Supervised Individualized Residential Alternative)</t>
  </si>
  <si>
    <t>Erie Chapter NYSARC, Inc. d/b/a Heritage Centers (Supported Employment)</t>
  </si>
  <si>
    <t>Erie Chapter NYSARC, Inc. d/b/a Heritage Centers (Suppotive Individualized Residential Alternative)</t>
  </si>
  <si>
    <t>Scott Zuccala DO</t>
  </si>
  <si>
    <t>Julie Valentine</t>
  </si>
  <si>
    <t>pmhrg@yahoo.com</t>
  </si>
  <si>
    <t>Sean E. Keating DPM</t>
  </si>
  <si>
    <t>E0232241</t>
  </si>
  <si>
    <t>KEATING SEAN E DPM</t>
  </si>
  <si>
    <t>KEATING SEAN</t>
  </si>
  <si>
    <t>KEATING SEAN E</t>
  </si>
  <si>
    <t>SHEEHAN MEMORIAL HSP</t>
  </si>
  <si>
    <t>Selioutski, Alexander MD</t>
  </si>
  <si>
    <t>E0104204</t>
  </si>
  <si>
    <t>SELIOUTSKI ALEXANDER</t>
  </si>
  <si>
    <t>SELIOUTSKI ALEXANDER DR.</t>
  </si>
  <si>
    <t>SELIOUTSKI ALEXANDER Z</t>
  </si>
  <si>
    <t>Seneca Healthcare Center</t>
  </si>
  <si>
    <t>Sevak Soukiazian MD</t>
  </si>
  <si>
    <t>E0044713</t>
  </si>
  <si>
    <t>SOUKIAZIAN SEVAK MD</t>
  </si>
  <si>
    <t>SOUKIAZIAN SEVAK</t>
  </si>
  <si>
    <t>Shabbir Z Hakim MD</t>
  </si>
  <si>
    <t>E0181381</t>
  </si>
  <si>
    <t>HAKIM SHABBIR Z  MD</t>
  </si>
  <si>
    <t>imroze@msn.com</t>
  </si>
  <si>
    <t>HAKIM SHABBIR</t>
  </si>
  <si>
    <t>Shah Faisal MD</t>
  </si>
  <si>
    <t>E0309426</t>
  </si>
  <si>
    <t>FAISAL SHAH</t>
  </si>
  <si>
    <t>(716) 440-4599</t>
  </si>
  <si>
    <t>faisalkeen@gmail.com</t>
  </si>
  <si>
    <t>KEEN FAISAL</t>
  </si>
  <si>
    <t>FAISAL S. KEEN</t>
  </si>
  <si>
    <t>Shahid Banday MBBS</t>
  </si>
  <si>
    <t>E0340003</t>
  </si>
  <si>
    <t>BANDAY SHAHID</t>
  </si>
  <si>
    <t>drsmbanday78@yahoo.com</t>
  </si>
  <si>
    <t>BANDAY SHAHID DR.</t>
  </si>
  <si>
    <t>BANDAY SHAHID MUKHTAR</t>
  </si>
  <si>
    <t>Shahid Mehboob MD</t>
  </si>
  <si>
    <t>Shahriyar Leilabadi MD</t>
  </si>
  <si>
    <t>E0018341</t>
  </si>
  <si>
    <t>LEILABADI SHAHRIYAR A MD</t>
  </si>
  <si>
    <t>LEILABADI SHAHRIYAR</t>
  </si>
  <si>
    <t>Shaikh Manzoor MD</t>
  </si>
  <si>
    <t>E0153764</t>
  </si>
  <si>
    <t>MANZOOR SHAIKH A MD</t>
  </si>
  <si>
    <t>MANZOOR SHAIKH</t>
  </si>
  <si>
    <t>Sharmilee Thota MD</t>
  </si>
  <si>
    <t>E0330084</t>
  </si>
  <si>
    <t>THOTA SHARMILEE</t>
  </si>
  <si>
    <t>Patricia Villani</t>
  </si>
  <si>
    <t>(716) 284-8917</t>
  </si>
  <si>
    <t>patricia.villani@msmh.org</t>
  </si>
  <si>
    <t>THOTA SHARMILEE DR.</t>
  </si>
  <si>
    <t>. Zulkharnain MD</t>
  </si>
  <si>
    <t>(716) 447-6096</t>
  </si>
  <si>
    <t>drzulkarnain@yahoo.com</t>
  </si>
  <si>
    <t>Lake Shore Behavioral Health</t>
  </si>
  <si>
    <t>Howard Hitzel, PsyD, President</t>
  </si>
  <si>
    <t>hhitzel@lake-shore.org</t>
  </si>
  <si>
    <t>Lakshmanan Rajendran MD</t>
  </si>
  <si>
    <t>rajmd@roadrunner.com</t>
  </si>
  <si>
    <t>Lana Pasek</t>
  </si>
  <si>
    <t>E0016276</t>
  </si>
  <si>
    <t>PASEK LANA MARIE NP</t>
  </si>
  <si>
    <t>(716) 862-1196</t>
  </si>
  <si>
    <t>PASEK LANA MRS.</t>
  </si>
  <si>
    <t>LaQuita King MD</t>
  </si>
  <si>
    <t>E0340079</t>
  </si>
  <si>
    <t>KING LAQUITA</t>
  </si>
  <si>
    <t>KING LAQUITA DR.</t>
  </si>
  <si>
    <t>Laszlo Mechtler MD</t>
  </si>
  <si>
    <t>lmechtler@dentinstitute.com</t>
  </si>
  <si>
    <t>Laura Ford Mukkamala DO</t>
  </si>
  <si>
    <t>(716) 656-4825</t>
  </si>
  <si>
    <t>Lauren Kuwik MD</t>
  </si>
  <si>
    <t>E0369378</t>
  </si>
  <si>
    <t>KUWIK LAUREN MARIE</t>
  </si>
  <si>
    <t>KUWIK LAUREN DR.</t>
  </si>
  <si>
    <t>3075 SOUTHWESTERN BLVD STE 100</t>
  </si>
  <si>
    <t>Laurie Kasnicki MD</t>
  </si>
  <si>
    <t>Lawrence Gugino MD</t>
  </si>
  <si>
    <t>(716) 828-2567</t>
  </si>
  <si>
    <t>lguginomd@gmail.com</t>
  </si>
  <si>
    <t>ANGELINA RYAN PA</t>
  </si>
  <si>
    <t>Ann Lillis NP</t>
  </si>
  <si>
    <t>ANNA BONEBERG NP</t>
  </si>
  <si>
    <t>E0088328</t>
  </si>
  <si>
    <t>BONEBERG ANNA MARIA</t>
  </si>
  <si>
    <t>BONEBERG ANNA</t>
  </si>
  <si>
    <t>3725 N BUFFALO ST STE A</t>
  </si>
  <si>
    <t>ANNE KROMER PA</t>
  </si>
  <si>
    <t>E0043741</t>
  </si>
  <si>
    <t>DIPIZIO ANNE M</t>
  </si>
  <si>
    <t>KROMER ANNE</t>
  </si>
  <si>
    <t>Anthony Gagliardo PA</t>
  </si>
  <si>
    <t>Arica Morrill PA</t>
  </si>
  <si>
    <t>E0296582</t>
  </si>
  <si>
    <t>ARICA HERRING MORRILL</t>
  </si>
  <si>
    <t>MORRILL ARICA</t>
  </si>
  <si>
    <t>MORRILL ARICA HERRING</t>
  </si>
  <si>
    <t>Arthur Sneed NP</t>
  </si>
  <si>
    <t>E0383239</t>
  </si>
  <si>
    <t>DOWNIE ARTHUR</t>
  </si>
  <si>
    <t>DOWNIE ARTHUR CHARLES</t>
  </si>
  <si>
    <t>2931 MILITARY RD</t>
  </si>
  <si>
    <t>Beth Mireles NP</t>
  </si>
  <si>
    <t>E0066796</t>
  </si>
  <si>
    <t>MIRELES BETH HELENE</t>
  </si>
  <si>
    <t>MIRELES BETH MRS.</t>
  </si>
  <si>
    <t>Bethany Gillet PA</t>
  </si>
  <si>
    <t>E0332168</t>
  </si>
  <si>
    <t>GILLET BETHANY MARIE</t>
  </si>
  <si>
    <t>SACHEL BETHANY</t>
  </si>
  <si>
    <t>SACHEL BETHANY MARIE</t>
  </si>
  <si>
    <t>BETSEY DECHERT-BOSS FNP</t>
  </si>
  <si>
    <t>E0065535</t>
  </si>
  <si>
    <t>DECHERT-BOSS BETSEY</t>
  </si>
  <si>
    <t>Beverly Montalvo NP</t>
  </si>
  <si>
    <t>Beverly Seib NP</t>
  </si>
  <si>
    <t>BITIKOFER KRISTIN PA</t>
  </si>
  <si>
    <t>Breanna Voigt PA</t>
  </si>
  <si>
    <t>E0299508</t>
  </si>
  <si>
    <t>VANSTEE BREANNA</t>
  </si>
  <si>
    <t>VOIGT BREANNA</t>
  </si>
  <si>
    <t>VOIGT BREANNA N</t>
  </si>
  <si>
    <t>Breanne Finucane PA</t>
  </si>
  <si>
    <t>Brenda Heim PA</t>
  </si>
  <si>
    <t>E0424004</t>
  </si>
  <si>
    <t>HEIM BRENDA F</t>
  </si>
  <si>
    <t>HEIM BRENDA MS.</t>
  </si>
  <si>
    <t>Brian Crotzer PA</t>
  </si>
  <si>
    <t>E0044581</t>
  </si>
  <si>
    <t>CROTZER BRIAN C RPA</t>
  </si>
  <si>
    <t>CROTZER BRIAN</t>
  </si>
  <si>
    <t>Brian Hill PA</t>
  </si>
  <si>
    <t>E0291997</t>
  </si>
  <si>
    <t>HILL BRIAN MATTHEW</t>
  </si>
  <si>
    <t>HILL BRIAN</t>
  </si>
  <si>
    <t>HILL BRIAN MATTHEW PA</t>
  </si>
  <si>
    <t>Brian LaPlante PA</t>
  </si>
  <si>
    <t>BRIANA KELLEY PA</t>
  </si>
  <si>
    <t>E0295552</t>
  </si>
  <si>
    <t>KELLEY BRIANA ROSE RPA</t>
  </si>
  <si>
    <t>KELLEY BRIANA</t>
  </si>
  <si>
    <t>Carol Northrup NP</t>
  </si>
  <si>
    <t>E0147096</t>
  </si>
  <si>
    <t>NORTHRUP CAROL ELIZABETH</t>
  </si>
  <si>
    <t>NORTHRUP CAROL MRS.</t>
  </si>
  <si>
    <t>Carrie Wydysh PA</t>
  </si>
  <si>
    <t>E0334850</t>
  </si>
  <si>
    <t>WYDYSH CARRIE ANN</t>
  </si>
  <si>
    <t>KUGLER CARRIE MS.</t>
  </si>
  <si>
    <t>KUGLER CARRIE ANN</t>
  </si>
  <si>
    <t>Casey Pettit PA</t>
  </si>
  <si>
    <t>E0332166</t>
  </si>
  <si>
    <t>PETTIT CASEY LIN</t>
  </si>
  <si>
    <t>LETA CASEY</t>
  </si>
  <si>
    <t>Caterina Phipps PA</t>
  </si>
  <si>
    <t>Steven Lakomy MD</t>
  </si>
  <si>
    <t>E0187183</t>
  </si>
  <si>
    <t>LAKOMY STEVE MD</t>
  </si>
  <si>
    <t>LAKOMY STEVEN</t>
  </si>
  <si>
    <t>Steven Lana MD</t>
  </si>
  <si>
    <t>Steven P. Herman MD</t>
  </si>
  <si>
    <t>E0194354</t>
  </si>
  <si>
    <t>HERMAN STEVEN PETER MD</t>
  </si>
  <si>
    <t>Jane Herman</t>
  </si>
  <si>
    <t>(716) 649-7722</t>
  </si>
  <si>
    <t>drstevenherman@aol.com</t>
  </si>
  <si>
    <t>5893 CAMP RD STE 4</t>
  </si>
  <si>
    <t>Steven Stone MD</t>
  </si>
  <si>
    <t>Steven Weiss MD</t>
  </si>
  <si>
    <t>Robbie D. Wall DO</t>
  </si>
  <si>
    <t>Robbin Hansen MD</t>
  </si>
  <si>
    <t>E0198010</t>
  </si>
  <si>
    <t>HANSEN ROBBIN H            MD</t>
  </si>
  <si>
    <t>HANSEN ROBBIN</t>
  </si>
  <si>
    <t>HANSEN ROBBIN HOWARD</t>
  </si>
  <si>
    <t>BERTRAND CHAFFEE</t>
  </si>
  <si>
    <t>Jillian Schweickhard PA</t>
  </si>
  <si>
    <t>E0302821</t>
  </si>
  <si>
    <t>SCHWEICKHARD JILLIAN NICOLE</t>
  </si>
  <si>
    <t>SCHWEICKHARD JILLIAN MRS.</t>
  </si>
  <si>
    <t>JIllian Smith np</t>
  </si>
  <si>
    <t>E0327887</t>
  </si>
  <si>
    <t>BEVILACQUA JILLIANN</t>
  </si>
  <si>
    <t>SMITH JILLIANN</t>
  </si>
  <si>
    <t>831 MAPLE RD</t>
  </si>
  <si>
    <t>Bennett Myers MD</t>
  </si>
  <si>
    <t>Berke, Robert MD</t>
  </si>
  <si>
    <t>Bertrand Chaffee Hospital</t>
  </si>
  <si>
    <t>E0263762</t>
  </si>
  <si>
    <t>BERTRAND CHAFFEE HOSPITAL</t>
  </si>
  <si>
    <t>Nils Gunnersen, CEO</t>
  </si>
  <si>
    <t>(716) 592-2871</t>
  </si>
  <si>
    <t>ngunnersen@bch-jbr.org</t>
  </si>
  <si>
    <t>BERTRAND CHAFFEE HOSPITAL INC</t>
  </si>
  <si>
    <t>Bertrand P. Roche MD</t>
  </si>
  <si>
    <t>E0239186</t>
  </si>
  <si>
    <t>ROCHE BERTRAND P MD</t>
  </si>
  <si>
    <t>ROCHE BERTRAND</t>
  </si>
  <si>
    <t>3100 SHERIDAN DR</t>
  </si>
  <si>
    <t>Beth Wlodarek</t>
  </si>
  <si>
    <t>Bhavansa Padmanabha MD</t>
  </si>
  <si>
    <t>E0233581</t>
  </si>
  <si>
    <t>PADMANABHA BHAVANSA        MD</t>
  </si>
  <si>
    <t>(716) 447-6629</t>
  </si>
  <si>
    <t>paddu5391@verizon.net</t>
  </si>
  <si>
    <t>PADMANABHA BHAVANSA DR.</t>
  </si>
  <si>
    <t>Black Rock Pharmacy, Inc.</t>
  </si>
  <si>
    <t>E0240494</t>
  </si>
  <si>
    <t>BLACK ROCK PHARMACY       INC</t>
  </si>
  <si>
    <t>Bradley J. Arthur</t>
  </si>
  <si>
    <t>(716) 876-3070</t>
  </si>
  <si>
    <t>Clackrockrx@Aol.Com</t>
  </si>
  <si>
    <t>BLACK ROCK PHARMACY INC</t>
  </si>
  <si>
    <t>431 TONAWANDA ST</t>
  </si>
  <si>
    <t>Bohdan J. Kawinski MD</t>
  </si>
  <si>
    <t>(716) 913-2610</t>
  </si>
  <si>
    <t>bohdankawinskimd@yahoo.com</t>
  </si>
  <si>
    <t>Bradley Ertel MD</t>
  </si>
  <si>
    <t>E0335528</t>
  </si>
  <si>
    <t>ERTEL BRADLEY R</t>
  </si>
  <si>
    <t>(716) 828-2860</t>
  </si>
  <si>
    <t>ertelbradley7@gmail.com</t>
  </si>
  <si>
    <t>ERTEL BRADLEY DR.</t>
  </si>
  <si>
    <t>ERTEL BRADLEY RICHARD</t>
  </si>
  <si>
    <t>Breeann N. Wilson DPM</t>
  </si>
  <si>
    <t>E0310322</t>
  </si>
  <si>
    <t>BREEANN N LEE</t>
  </si>
  <si>
    <t>WILSON BREEANN DR.</t>
  </si>
  <si>
    <t>WILSON BREEANN N</t>
  </si>
  <si>
    <t>2121 MAIN ST STE 214</t>
  </si>
  <si>
    <t>Brenda Perez MD</t>
  </si>
  <si>
    <t>E0032588</t>
  </si>
  <si>
    <t>PEREZ BRENDA L MD</t>
  </si>
  <si>
    <t>PEREZ BRENDA MRS.</t>
  </si>
  <si>
    <t>1100 LONG POND RD</t>
  </si>
  <si>
    <t>Brian Block MD</t>
  </si>
  <si>
    <t>E0239391</t>
  </si>
  <si>
    <t>BLOCK BRIAN                MD</t>
  </si>
  <si>
    <t>BLOCK BRIAN DR.</t>
  </si>
  <si>
    <t>MT ST MARYS HOSP</t>
  </si>
  <si>
    <t>Brian Cromwell MD</t>
  </si>
  <si>
    <t>E0173036</t>
  </si>
  <si>
    <t>CROMWELL BRIAN MD</t>
  </si>
  <si>
    <t>bcromwell@roadrunner.com</t>
  </si>
  <si>
    <t>CROMWELL BRIAN</t>
  </si>
  <si>
    <t>CROMWELL BRIAN GORDON</t>
  </si>
  <si>
    <t>Brian Karaszewski MD</t>
  </si>
  <si>
    <t>Hongyu Wen MD</t>
  </si>
  <si>
    <t>daisywen@yahoo.com</t>
  </si>
  <si>
    <t>Horacio A. Capote MD</t>
  </si>
  <si>
    <t>Robert E. Kaprove MD</t>
  </si>
  <si>
    <t>Joseph Grisanti MD</t>
  </si>
  <si>
    <t>Joseph Kita MD</t>
  </si>
  <si>
    <t>Joseph Kowalski MD</t>
  </si>
  <si>
    <t>Joseph M Anain Jr DPM</t>
  </si>
  <si>
    <t>Joseph M Anain Sr MD</t>
  </si>
  <si>
    <t>E0231001</t>
  </si>
  <si>
    <t>ANAIN JOSEPH MARCELO       MD</t>
  </si>
  <si>
    <t>Joseph M. Greco MD</t>
  </si>
  <si>
    <t>Joseph M. Mylotte MD</t>
  </si>
  <si>
    <t>E0184797</t>
  </si>
  <si>
    <t>MYLOTTE JOSEPH M MD</t>
  </si>
  <si>
    <t>MYLOTTE JOSEPH</t>
  </si>
  <si>
    <t>BLASIUS JONATHAN DR.</t>
  </si>
  <si>
    <t>E0154531</t>
  </si>
  <si>
    <t>BLASIUS JONATHAN PAUL MD</t>
  </si>
  <si>
    <t>GENTILE MARIO</t>
  </si>
  <si>
    <t>E0191398</t>
  </si>
  <si>
    <t>MARIO GENTILE</t>
  </si>
  <si>
    <t>JONES HILL PROF BLDG</t>
  </si>
  <si>
    <t>BOCK MELISSA</t>
  </si>
  <si>
    <t>E0324371</t>
  </si>
  <si>
    <t>BOCK MELISSA HINES FNP</t>
  </si>
  <si>
    <t>103 ALLEN ST</t>
  </si>
  <si>
    <t>MENON ZUBIN DR.</t>
  </si>
  <si>
    <t>E0340950</t>
  </si>
  <si>
    <t>MENON ZUBIN</t>
  </si>
  <si>
    <t>MURPHY MELISSA</t>
  </si>
  <si>
    <t>E0335351</t>
  </si>
  <si>
    <t>MURPHY MELISSA KAY</t>
  </si>
  <si>
    <t>RANNEY MELISSA</t>
  </si>
  <si>
    <t>RANNEY MELISSA MURPHY</t>
  </si>
  <si>
    <t>GEBHARD ROBERTA</t>
  </si>
  <si>
    <t>E0139251</t>
  </si>
  <si>
    <t>GEBHARD ROBERTA E DO</t>
  </si>
  <si>
    <t>2710 GRAND ISLAND BLVD</t>
  </si>
  <si>
    <t>KAVJIAN DAVID</t>
  </si>
  <si>
    <t>E0306057</t>
  </si>
  <si>
    <t>DAVID A KAVJIAN MD</t>
  </si>
  <si>
    <t>(716) 664-8460</t>
  </si>
  <si>
    <t>KAVJIAN DAVID A MD</t>
  </si>
  <si>
    <t>GAGLIARDI MARTY DR.</t>
  </si>
  <si>
    <t>E0304267</t>
  </si>
  <si>
    <t>GAGLIARDI MARTIN PHILIP MD</t>
  </si>
  <si>
    <t>GLENN JAMES</t>
  </si>
  <si>
    <t>E0308754</t>
  </si>
  <si>
    <t>GLENN JAMES MICHAEL  MD</t>
  </si>
  <si>
    <t>EGWAIKHIDE OHIGBAI DR.</t>
  </si>
  <si>
    <t>E0308557</t>
  </si>
  <si>
    <t>OHIGBAI AILENDE EGWAIKWIDE</t>
  </si>
  <si>
    <t>(716) 487-0141</t>
  </si>
  <si>
    <t>EGWAIKHIDE OHIGBAI AILENDE</t>
  </si>
  <si>
    <t>WCA HOSPITAL 207 FOOTE AVE</t>
  </si>
  <si>
    <t>Yijun Cheng MD</t>
  </si>
  <si>
    <t>ycheng@buffalomedicalgroup.com</t>
  </si>
  <si>
    <t>James Lohr MD</t>
  </si>
  <si>
    <t>E0118741</t>
  </si>
  <si>
    <t>LOHR JAMES WESLEY MD</t>
  </si>
  <si>
    <t>LOHR JAMES</t>
  </si>
  <si>
    <t>NIAGARA DIALYSIS</t>
  </si>
  <si>
    <t>Peter Loud MD</t>
  </si>
  <si>
    <t>E0142626</t>
  </si>
  <si>
    <t>LOUD PETER ALDEN MD</t>
  </si>
  <si>
    <t>LOUD PETER</t>
  </si>
  <si>
    <t>Mirjana Lovrincevic MD</t>
  </si>
  <si>
    <t>E0087099</t>
  </si>
  <si>
    <t>LOVRINCEVIC MIRJANA MD</t>
  </si>
  <si>
    <t>LOVRINCEVIC MIRJANA</t>
  </si>
  <si>
    <t>Stefan  Lucas MD</t>
  </si>
  <si>
    <t>Wen Wee Ma   MD</t>
  </si>
  <si>
    <t>Elizabeth Mahoney MD</t>
  </si>
  <si>
    <t>Sara Majewski MD</t>
  </si>
  <si>
    <t>E0312760</t>
  </si>
  <si>
    <t>MAJEWSKI SARA ANN MD</t>
  </si>
  <si>
    <t>MAJEWSKI SARA</t>
  </si>
  <si>
    <t>Usha Malhotra MD</t>
  </si>
  <si>
    <t>E0325477</t>
  </si>
  <si>
    <t>MALHOTRA USHA</t>
  </si>
  <si>
    <t>Michael Marino MD</t>
  </si>
  <si>
    <t>David Mattson MD</t>
  </si>
  <si>
    <t>Philip McCarthy MD</t>
  </si>
  <si>
    <t>Elizabeth McClintick MD</t>
  </si>
  <si>
    <t>E0078189</t>
  </si>
  <si>
    <t>MCCLINTICK ELIZABETH A MD</t>
  </si>
  <si>
    <t>MCCLINTICK ELIZABETH</t>
  </si>
  <si>
    <t>Mihai Merzianu MD</t>
  </si>
  <si>
    <t>E0031534</t>
  </si>
  <si>
    <t>MERZIANU MIHAI</t>
  </si>
  <si>
    <t>James Mohler* MD</t>
  </si>
  <si>
    <t>Wong Moon MD</t>
  </si>
  <si>
    <t>E0342966</t>
  </si>
  <si>
    <t>MOON WONG KYUN</t>
  </si>
  <si>
    <t>MOON WONG</t>
  </si>
  <si>
    <t>Carl Morrison MD</t>
  </si>
  <si>
    <t>E0012923</t>
  </si>
  <si>
    <t>MORRISON CARL D MD</t>
  </si>
  <si>
    <t>MORRISON CARL</t>
  </si>
  <si>
    <t>James Slough MD</t>
  </si>
  <si>
    <t>James Stephen MD</t>
  </si>
  <si>
    <t>E0020603</t>
  </si>
  <si>
    <t>STEPHEN JAMES</t>
  </si>
  <si>
    <t>STEPHEN JAMES DR.</t>
  </si>
  <si>
    <t>James Swiencicki MD</t>
  </si>
  <si>
    <t>James Tkacik</t>
  </si>
  <si>
    <t>James Wild</t>
  </si>
  <si>
    <t>Mike Miller</t>
  </si>
  <si>
    <t>(716) 372-2000</t>
  </si>
  <si>
    <t>mmiller@lakeeriehealth.org</t>
  </si>
  <si>
    <t>Jamie Streicher DO</t>
  </si>
  <si>
    <t>E0341980</t>
  </si>
  <si>
    <t>STREICHER JAMIE FLAVIA</t>
  </si>
  <si>
    <t>STREICHER JAMIE DR.</t>
  </si>
  <si>
    <t>Jane D. Kraft MD</t>
  </si>
  <si>
    <t>E0152164</t>
  </si>
  <si>
    <t>JANE D KRAFT MD PLLC</t>
  </si>
  <si>
    <t>Jane Kraft</t>
  </si>
  <si>
    <t>(716) 592-8931</t>
  </si>
  <si>
    <t>jdkraft11@aol.com</t>
  </si>
  <si>
    <t>KRAFT JANE</t>
  </si>
  <si>
    <t>Janice Errick MD</t>
  </si>
  <si>
    <t>E0115723</t>
  </si>
  <si>
    <t>ERRICK JANICE</t>
  </si>
  <si>
    <t>Jason Dunleavy MD</t>
  </si>
  <si>
    <t>E0321536</t>
  </si>
  <si>
    <t>DUNLEAVY JASON DANA</t>
  </si>
  <si>
    <t>DUNLEAVY JASON DR.</t>
  </si>
  <si>
    <t>Jason Matuszak MD</t>
  </si>
  <si>
    <t>E0283483</t>
  </si>
  <si>
    <t>MATUSZAK JASON</t>
  </si>
  <si>
    <t>MATUSZAK JASON DR.</t>
  </si>
  <si>
    <t>MATUSZAK JASON MICHAEL</t>
  </si>
  <si>
    <t>Jay Hassenfratz DPM</t>
  </si>
  <si>
    <t>Jay Newman MD</t>
  </si>
  <si>
    <t>Jayanta Chaudhuri MD</t>
  </si>
  <si>
    <t>Jean Haar MD</t>
  </si>
  <si>
    <t>E0239432</t>
  </si>
  <si>
    <t>HAAR JEAN GEORGE PC        MD</t>
  </si>
  <si>
    <t>HAAR JEAN DR.</t>
  </si>
  <si>
    <t>DELAWARE MED GRP PC</t>
  </si>
  <si>
    <t>Jeannie Koenig MD</t>
  </si>
  <si>
    <t>E0072760</t>
  </si>
  <si>
    <t>KOENIG JEANNIE KAO MD</t>
  </si>
  <si>
    <t>(716) 861-3364</t>
  </si>
  <si>
    <t>jk1776@hotmail.com</t>
  </si>
  <si>
    <t>KOENIG JEANNIE DR.</t>
  </si>
  <si>
    <t>Jeffrey B. Rockoff MD</t>
  </si>
  <si>
    <t>Donna Gruener</t>
  </si>
  <si>
    <t>(716) 874-8980</t>
  </si>
  <si>
    <t>rockoff.aai@roadrunner.com</t>
  </si>
  <si>
    <t>Jeffrey Brewer MD</t>
  </si>
  <si>
    <t>jbrewer@ecmc.edu</t>
  </si>
  <si>
    <t>Sharon Nisengard</t>
  </si>
  <si>
    <t>E0063125</t>
  </si>
  <si>
    <t>SISKIN SHARON H CNM</t>
  </si>
  <si>
    <t>NISENGARD SHARON</t>
  </si>
  <si>
    <t>NISENGARD SHARON HAVA</t>
  </si>
  <si>
    <t>Yogesh Maheshwari MD</t>
  </si>
  <si>
    <t>Yongzeng Ding MD,PhD</t>
  </si>
  <si>
    <t>E0337048</t>
  </si>
  <si>
    <t>DING YONGZENG</t>
  </si>
  <si>
    <t>Young Yu MD</t>
  </si>
  <si>
    <t>E0234240</t>
  </si>
  <si>
    <t>YU YOUNG J MD</t>
  </si>
  <si>
    <t>YU YOUNG DR.</t>
  </si>
  <si>
    <t>734 MAIN ST</t>
  </si>
  <si>
    <t>Young Zhou MD</t>
  </si>
  <si>
    <t>E0072774</t>
  </si>
  <si>
    <t>ZHOU YOUNG</t>
  </si>
  <si>
    <t>ZHOU YOUNG T</t>
  </si>
  <si>
    <t>60 MAPLE ROAD</t>
  </si>
  <si>
    <t>Yubao Wang MD</t>
  </si>
  <si>
    <t>(716) 810-9631</t>
  </si>
  <si>
    <t>Zaki Masud MD</t>
  </si>
  <si>
    <t>Zeeshan Qureshi DO</t>
  </si>
  <si>
    <t>E0348829</t>
  </si>
  <si>
    <t>QURESHI ZEESHAN M</t>
  </si>
  <si>
    <t>QURESHI ZEESHAN MR.</t>
  </si>
  <si>
    <t>Zina Hajduczok MD</t>
  </si>
  <si>
    <t>E0174870</t>
  </si>
  <si>
    <t>HAJDUCZOK ZINA D  MD PC</t>
  </si>
  <si>
    <t>Kathy Agnello</t>
  </si>
  <si>
    <t>(716) 297-1686</t>
  </si>
  <si>
    <t>kac5320@yahoo.com</t>
  </si>
  <si>
    <t>HAJDUCZOK ZINA</t>
  </si>
  <si>
    <t>Outpatient Therapy Clinic</t>
  </si>
  <si>
    <t>Heritage Village Retirement Campus</t>
  </si>
  <si>
    <t>Kelly Wittenbrook</t>
  </si>
  <si>
    <t>E0339101</t>
  </si>
  <si>
    <t>WITTENBROOK KELLY ANN</t>
  </si>
  <si>
    <t>WITTENBROOK KELLY</t>
  </si>
  <si>
    <t>1 PENN PLZ FL 7</t>
  </si>
  <si>
    <t>E0209540</t>
  </si>
  <si>
    <t>MITCHELL MICHAEL DANA      MD</t>
  </si>
  <si>
    <t>MITCHELL MICHAEL DANA MD</t>
  </si>
  <si>
    <t>HERITAGE VILLAGE REHAB AND SKILLED NURSING</t>
  </si>
  <si>
    <t>Su Zhan MD</t>
  </si>
  <si>
    <t>E0315254</t>
  </si>
  <si>
    <t>WNY REHABILITATION MEDICINE AND PAI</t>
  </si>
  <si>
    <t>Marcy Trzaska</t>
  </si>
  <si>
    <t>(716) 677-2700</t>
  </si>
  <si>
    <t>marcytrzaska@gmail.com</t>
  </si>
  <si>
    <t>WNY REHABILITATION MEDICINE AND PAIN MANAGEMENT LLC</t>
  </si>
  <si>
    <t>550 ORCHARD PARK RD BLDG C</t>
  </si>
  <si>
    <t>Subrato Ghosh MD</t>
  </si>
  <si>
    <t>Suburban Adult Services Inc.</t>
  </si>
  <si>
    <t>Sujatha Addagatla MD</t>
  </si>
  <si>
    <t>Angel Alexis</t>
  </si>
  <si>
    <t>aalexis76@yahoo.com</t>
  </si>
  <si>
    <t>Sunita Chadha MD</t>
  </si>
  <si>
    <t>Jennifer McKinney</t>
  </si>
  <si>
    <t>(716) 810-9292</t>
  </si>
  <si>
    <t>jmckinney@wnyrheumatology.com</t>
  </si>
  <si>
    <t>Susan Bentley</t>
  </si>
  <si>
    <t>E0361149</t>
  </si>
  <si>
    <t>BENTLEY SUSAN ELIZABETH</t>
  </si>
  <si>
    <t>BENTLEY SUSAN</t>
  </si>
  <si>
    <t>Susan Fischbeck MD</t>
  </si>
  <si>
    <t>E0191481</t>
  </si>
  <si>
    <t>FISCHBECK SUSAN MD</t>
  </si>
  <si>
    <t>FISCHBECK SUSAN</t>
  </si>
  <si>
    <t>Susan Littler MD</t>
  </si>
  <si>
    <t>Susan Mackowiak</t>
  </si>
  <si>
    <t>Ashraf Henry MD</t>
  </si>
  <si>
    <t>Amani Henry</t>
  </si>
  <si>
    <t>(716) 832-1107</t>
  </si>
  <si>
    <t>amani82464@yahoo.com</t>
  </si>
  <si>
    <t>Child &amp; Family Services</t>
  </si>
  <si>
    <t>Elizabeth McPartland</t>
  </si>
  <si>
    <t>emcpartland@cfsbny.org</t>
  </si>
  <si>
    <t>330 Delaware Ave.</t>
  </si>
  <si>
    <t>Chitester, Chad PA-C</t>
  </si>
  <si>
    <t>E0065894</t>
  </si>
  <si>
    <t>CHITESTER CHAD T</t>
  </si>
  <si>
    <t>CHITESTER CHAD</t>
  </si>
  <si>
    <t>CHITESTER CHAD THOMAS PA</t>
  </si>
  <si>
    <t>Christian Chouchani MD</t>
  </si>
  <si>
    <t>Christian Krawczyk DO</t>
  </si>
  <si>
    <t>E0045122</t>
  </si>
  <si>
    <t>KRAWCZYK CHRISTIAN M MD</t>
  </si>
  <si>
    <t>KRAWCZYK CHRISTIAN</t>
  </si>
  <si>
    <t>KRAWCZYK CHRISTIAN MICHAEL</t>
  </si>
  <si>
    <t>Christine Hatem</t>
  </si>
  <si>
    <t>E0103503</t>
  </si>
  <si>
    <t>HATEM CHRISTINE DIANE</t>
  </si>
  <si>
    <t>HATEM CHRISTINE</t>
  </si>
  <si>
    <t>Christopher Bartolone MD</t>
  </si>
  <si>
    <t>Christopher Karkut MD</t>
  </si>
  <si>
    <t>Kelly Wind</t>
  </si>
  <si>
    <t>Kwind@advancedcardiologybuffalo.com</t>
  </si>
  <si>
    <t>Christopher Kopp MD</t>
  </si>
  <si>
    <t>Christopher Ritter MD</t>
  </si>
  <si>
    <t>Christopher Skomra MD</t>
  </si>
  <si>
    <t>Christopher Springer MD</t>
  </si>
  <si>
    <t>CHS Neuroscience Group</t>
  </si>
  <si>
    <t>E0366449</t>
  </si>
  <si>
    <t>CHS NEUROSCIENCE GROUP</t>
  </si>
  <si>
    <t>Evelyn Ouellette</t>
  </si>
  <si>
    <t>E0002768</t>
  </si>
  <si>
    <t>OUELLETTE EVELYN</t>
  </si>
  <si>
    <t>OUELLETTE EVELYN MARY</t>
  </si>
  <si>
    <t>117 MAIN ST</t>
  </si>
  <si>
    <t>Helen Suchanick</t>
  </si>
  <si>
    <t>E0063386</t>
  </si>
  <si>
    <t>C &amp; S MEDICAL BLDG INC</t>
  </si>
  <si>
    <t>CARRERAS-SUCHANICK HELEN</t>
  </si>
  <si>
    <t>SUCHANICK HELEN C DO</t>
  </si>
  <si>
    <t>BROOKS MEM HOSPITAL</t>
  </si>
  <si>
    <t>Umamaheswara Vejendla MD</t>
  </si>
  <si>
    <t>E0095054</t>
  </si>
  <si>
    <t>VEJENDLA UMAMAHESWARA RAO</t>
  </si>
  <si>
    <t>VEJENDLA PHYSICIAN PC UMAMAHESWARA</t>
  </si>
  <si>
    <t>152 FOOTE AVE</t>
  </si>
  <si>
    <t>Pujan Shrestha</t>
  </si>
  <si>
    <t>E0388285</t>
  </si>
  <si>
    <t>SHRESTHA PUJAN</t>
  </si>
  <si>
    <t>268 W MAIN ST STE 2</t>
  </si>
  <si>
    <t>Joseph Maddi MD</t>
  </si>
  <si>
    <t>E0197380</t>
  </si>
  <si>
    <t>MADDI JOSEPH L MD</t>
  </si>
  <si>
    <t>Christina Maddi</t>
  </si>
  <si>
    <t>(716) 834-0221</t>
  </si>
  <si>
    <t>christina.maddi@gmail.com</t>
  </si>
  <si>
    <t>MADDI JOSEPH</t>
  </si>
  <si>
    <t>Joseph Nasca DPM</t>
  </si>
  <si>
    <t>(716) 833-0225</t>
  </si>
  <si>
    <t>docjoen@aol.com</t>
  </si>
  <si>
    <t>Joseph P. Leberer MD</t>
  </si>
  <si>
    <t>jleberer@buffalomedicalgroup.com</t>
  </si>
  <si>
    <t>Joseph Polcaro MD</t>
  </si>
  <si>
    <t>Elaine Keegan</t>
  </si>
  <si>
    <t>(716) 828-3650</t>
  </si>
  <si>
    <t>EK5930@chsbuffalo.org</t>
  </si>
  <si>
    <t>Joseph R. Berardi MD</t>
  </si>
  <si>
    <t>E0236105</t>
  </si>
  <si>
    <t>BERARDI JOSEPH RICHARD     MD</t>
  </si>
  <si>
    <t>(716) 839-4949</t>
  </si>
  <si>
    <t>jrbmd70@hotmail.com</t>
  </si>
  <si>
    <t>BERARDI JOSEPH DR.</t>
  </si>
  <si>
    <t>Joseph Riccione DO</t>
  </si>
  <si>
    <t>E0335366</t>
  </si>
  <si>
    <t>RICCIONE JOSEPH A</t>
  </si>
  <si>
    <t>(716) 656-4832</t>
  </si>
  <si>
    <t>jriccione@gmail.com</t>
  </si>
  <si>
    <t>RICCIONE JOSEPH</t>
  </si>
  <si>
    <t>RICCIONE JOSEPH ANTHONY</t>
  </si>
  <si>
    <t>Josephine Welliver MD</t>
  </si>
  <si>
    <t>Joshua Jones MD</t>
  </si>
  <si>
    <t>jljones3@buffalo.edu</t>
  </si>
  <si>
    <t>Joshua Usen DO</t>
  </si>
  <si>
    <t>Pam Platek</t>
  </si>
  <si>
    <t>pplatek@myshfm.com</t>
  </si>
  <si>
    <t>Juan Diego Mazariegos MD</t>
  </si>
  <si>
    <t>E0115742</t>
  </si>
  <si>
    <t>MAZARIEGOS JUAN</t>
  </si>
  <si>
    <t>Jude S. Violante DPM</t>
  </si>
  <si>
    <t>E0026109</t>
  </si>
  <si>
    <t>VIOLANTE JUDE S DPM</t>
  </si>
  <si>
    <t>Amanda Porter</t>
  </si>
  <si>
    <t>(716) 205-0181</t>
  </si>
  <si>
    <t>abomberry24@gmail.com</t>
  </si>
  <si>
    <t>VIOLANTE JUDE</t>
  </si>
  <si>
    <t>1 COLUMBA DR</t>
  </si>
  <si>
    <t>Judine Davis MD</t>
  </si>
  <si>
    <t>E0125324</t>
  </si>
  <si>
    <t>DAVIS JUDINE C</t>
  </si>
  <si>
    <t>(716) 862-1589</t>
  </si>
  <si>
    <t>judine2@verizon.net</t>
  </si>
  <si>
    <t>DAVIS JUDINE</t>
  </si>
  <si>
    <t>Judy Wesolowski MD</t>
  </si>
  <si>
    <t>E0126420</t>
  </si>
  <si>
    <t>WESOLOWSKI JUDY A MD</t>
  </si>
  <si>
    <t>WESOLOWSKI JUDY</t>
  </si>
  <si>
    <t>GYN-OB ASC OF WNY PC</t>
  </si>
  <si>
    <t>JudyAnn Joy-Pardi MD</t>
  </si>
  <si>
    <t>jjpardi13@gmail.com</t>
  </si>
  <si>
    <t>Julia Melanson DO</t>
  </si>
  <si>
    <t>Barbara Luce</t>
  </si>
  <si>
    <t>(716) 630-1150</t>
  </si>
  <si>
    <t>bluce@buffalomedicalgroup.com</t>
  </si>
  <si>
    <t>Julie A. Gavin MD</t>
  </si>
  <si>
    <t>Julie Gavin</t>
  </si>
  <si>
    <t>(716) 873-9115</t>
  </si>
  <si>
    <t>info@juliegavinmdobgyn.com</t>
  </si>
  <si>
    <t>Julie Thomas DO</t>
  </si>
  <si>
    <t>E0337487</t>
  </si>
  <si>
    <t>THOMAS JULIE A</t>
  </si>
  <si>
    <t>THOMAS JULIE ANN</t>
  </si>
  <si>
    <t>Juliette Nwachkwu MD</t>
  </si>
  <si>
    <t>E0029049</t>
  </si>
  <si>
    <t>NWACHUKWU JULIETTE JOY MD</t>
  </si>
  <si>
    <t>NWACHUKWUU JULIETTE</t>
  </si>
  <si>
    <t>NWACHUKWU J JOY</t>
  </si>
  <si>
    <t>Valerie McDonald PA</t>
  </si>
  <si>
    <t>E0374396</t>
  </si>
  <si>
    <t>MCDONALD VALERIE ANN</t>
  </si>
  <si>
    <t>MCDONALD VALERIE MRS.</t>
  </si>
  <si>
    <t>3671 SOUTHWESTERN BLVD STE 213</t>
  </si>
  <si>
    <t>Ridge View Manor</t>
  </si>
  <si>
    <t>Williamsville Suburban LLC</t>
  </si>
  <si>
    <t>Waterfront Center</t>
  </si>
  <si>
    <t xml:space="preserve">Rosa Coplon Certified Home Health Care </t>
  </si>
  <si>
    <t>Eric Bernard</t>
  </si>
  <si>
    <t>ebernard@weinbergcampus.org</t>
  </si>
  <si>
    <t xml:space="preserve">Menorah Licensed Home Care </t>
  </si>
  <si>
    <t>MENORAH CAMPUS ADULT HOME, INC.</t>
  </si>
  <si>
    <t>Menorah Campus Adult Home, Inc</t>
  </si>
  <si>
    <t>Dana Notaro</t>
  </si>
  <si>
    <t>2680 N FOREST RD</t>
  </si>
  <si>
    <t>Erika Connor MD</t>
  </si>
  <si>
    <t>E0195619</t>
  </si>
  <si>
    <t>CONNOR ERIKA H</t>
  </si>
  <si>
    <t>Erika Conner MD</t>
  </si>
  <si>
    <t>(716) 358-2340</t>
  </si>
  <si>
    <t>CONNOR ERIKA</t>
  </si>
  <si>
    <t>111 MAIN ST</t>
  </si>
  <si>
    <t>Kenneth P. Houseknecht</t>
  </si>
  <si>
    <t>khouseknecht@eriemha.org</t>
  </si>
  <si>
    <t>Erie County Council for Prevention of Alcohol &amp; Substance Abuse</t>
  </si>
  <si>
    <t>Andrea J. Wanat</t>
  </si>
  <si>
    <t>(716) 831-2298</t>
  </si>
  <si>
    <t>ajwanat@eccpasa.org</t>
  </si>
  <si>
    <t>1625 Hertel Avenue</t>
  </si>
  <si>
    <t>Bilal Mustafa MD</t>
  </si>
  <si>
    <t>Hector Nava MD</t>
  </si>
  <si>
    <t>E0181502</t>
  </si>
  <si>
    <t>NAVA HECTOR R  MD</t>
  </si>
  <si>
    <t>NAVA HECTOR</t>
  </si>
  <si>
    <t>Helen Nazareth MD</t>
  </si>
  <si>
    <t>Vishala Neppalli MD</t>
  </si>
  <si>
    <t>E0311732</t>
  </si>
  <si>
    <t>VISHALA TAMIRISA NEPPALLI</t>
  </si>
  <si>
    <t>NEPPALLI VISHALA</t>
  </si>
  <si>
    <t>NEPPALLI VISHALA TAMIRISA</t>
  </si>
  <si>
    <t>David Nowak MD</t>
  </si>
  <si>
    <t>E0390799</t>
  </si>
  <si>
    <t>NOWAK DAVID</t>
  </si>
  <si>
    <t>Steven Nurkin MD</t>
  </si>
  <si>
    <t>E0309468</t>
  </si>
  <si>
    <t>NURKIN STEVEN JEREMY</t>
  </si>
  <si>
    <t>NURKIN STEVEN</t>
  </si>
  <si>
    <t>Chukwumere Nwogu MD</t>
  </si>
  <si>
    <t>Tracey O'Connor MD</t>
  </si>
  <si>
    <t>Kathleen O'Leary MD</t>
  </si>
  <si>
    <t>E0156375</t>
  </si>
  <si>
    <t>O'LEARY KATHLEEN A MD</t>
  </si>
  <si>
    <t>O'LEARY KATHLEEN</t>
  </si>
  <si>
    <t>Ervin O'Mara MD</t>
  </si>
  <si>
    <t>E0127137</t>
  </si>
  <si>
    <t>O'MARA THOMAS ERVIN MD</t>
  </si>
  <si>
    <t>O'MARA THOMAS DR.</t>
  </si>
  <si>
    <t>OMARA THOMAS E</t>
  </si>
  <si>
    <t>Mojola Omole MD</t>
  </si>
  <si>
    <t>E0401752</t>
  </si>
  <si>
    <t>OMOLE MOJOLA</t>
  </si>
  <si>
    <t>ELM &amp; CARLTON STRETS</t>
  </si>
  <si>
    <t>Evelena Ontiveros MD</t>
  </si>
  <si>
    <t>E0371540</t>
  </si>
  <si>
    <t>ONTIVEROS EVELENA</t>
  </si>
  <si>
    <t>ONTIVEROS EVELENA PATRICE</t>
  </si>
  <si>
    <t>SUTARIA BHAGWANDAS DR.</t>
  </si>
  <si>
    <t>E0235662</t>
  </si>
  <si>
    <t>BHAGWANDAS L SUTARIA</t>
  </si>
  <si>
    <t>RASHED ABDULQWAI DR.</t>
  </si>
  <si>
    <t>E0359302</t>
  </si>
  <si>
    <t>RASHED ABDULGWAI NASSER</t>
  </si>
  <si>
    <t>(716) 664-7353</t>
  </si>
  <si>
    <t>RASHED ABDULQWAI NASSER</t>
  </si>
  <si>
    <t>KERNEY ANGEL DR.</t>
  </si>
  <si>
    <t>E0131488</t>
  </si>
  <si>
    <t>KERNEY ANGEL L</t>
  </si>
  <si>
    <t>KERNEY ANGEL LA NIECE</t>
  </si>
  <si>
    <t>200 WHITE SPRUCE BOULEVARD</t>
  </si>
  <si>
    <t>GINGELL ROBERT MD</t>
  </si>
  <si>
    <t>E0260024</t>
  </si>
  <si>
    <t>GINGELL ROBERT             MD</t>
  </si>
  <si>
    <t>STANCOMBE MARK</t>
  </si>
  <si>
    <t>E0014382</t>
  </si>
  <si>
    <t>STANCOMBE MARK D RPA</t>
  </si>
  <si>
    <t>2626 W STATE ST</t>
  </si>
  <si>
    <t>(607) 277-3257</t>
  </si>
  <si>
    <t>PAGLIUCA THERESA</t>
  </si>
  <si>
    <t>E0089259</t>
  </si>
  <si>
    <t>PAGLIUCA THERESA MD</t>
  </si>
  <si>
    <t>SUTARIA PRAGNA</t>
  </si>
  <si>
    <t>E0226635</t>
  </si>
  <si>
    <t>SUTARIA PRAGNA MD</t>
  </si>
  <si>
    <t>SUTARIA PRAGNA B</t>
  </si>
  <si>
    <t>KOULISIS CHRISTO</t>
  </si>
  <si>
    <t>E0314869</t>
  </si>
  <si>
    <t>KOULISIS CHRISTO WILLIAM MD</t>
  </si>
  <si>
    <t>GEARY WILLIAM DR.</t>
  </si>
  <si>
    <t>E0057173</t>
  </si>
  <si>
    <t>GEARY WILLIAM ALFRED MD</t>
  </si>
  <si>
    <t>103B ALLEN STREET</t>
  </si>
  <si>
    <t>GRIJALVA GALO DR.</t>
  </si>
  <si>
    <t>E0291407</t>
  </si>
  <si>
    <t>GRIJALVA GALO ALEXANDER MD</t>
  </si>
  <si>
    <t>BOMMIREDDIPALLI SRINIVAS DR.</t>
  </si>
  <si>
    <t>E0375191</t>
  </si>
  <si>
    <t>BOMMIREDDIPALLI SRINIVAS S</t>
  </si>
  <si>
    <t>PRZYBYLA KEVIN DR.</t>
  </si>
  <si>
    <t>E0181430</t>
  </si>
  <si>
    <t>PRZYBYLA KEVIN P DO</t>
  </si>
  <si>
    <t>TRI CTY MEMORIAL HSP</t>
  </si>
  <si>
    <t>ROCKWELL BRUCE MR.</t>
  </si>
  <si>
    <t>E0126772</t>
  </si>
  <si>
    <t>ROCKWELL BRUCE H MD</t>
  </si>
  <si>
    <t>ROCKWELL BRUCE HOWARD MD</t>
  </si>
  <si>
    <t>TIBOR LISA</t>
  </si>
  <si>
    <t>E0346116</t>
  </si>
  <si>
    <t>TIBOR LISA MARIE</t>
  </si>
  <si>
    <t>WEBB KEITH MR.</t>
  </si>
  <si>
    <t>E0317254</t>
  </si>
  <si>
    <t>WEBB KEITH JOHN</t>
  </si>
  <si>
    <t>(770) 643-5563</t>
  </si>
  <si>
    <t>BROWN MICHELLE</t>
  </si>
  <si>
    <t>E0326362</t>
  </si>
  <si>
    <t>BROWN MICHELLE D</t>
  </si>
  <si>
    <t>(716) 597-8338</t>
  </si>
  <si>
    <t>(716) 597-8339</t>
  </si>
  <si>
    <t>(716) 597-8340</t>
  </si>
  <si>
    <t>(716) 597-8341</t>
  </si>
  <si>
    <t>(716) 597-8342</t>
  </si>
  <si>
    <t>(716) 597-8343</t>
  </si>
  <si>
    <t>(716) 597-8344</t>
  </si>
  <si>
    <t>Spectrum Human Services (Northtowns)</t>
  </si>
  <si>
    <t>Spectrum Human Services (South Bflo MH)</t>
  </si>
  <si>
    <t>Sridhar Rachala MD</t>
  </si>
  <si>
    <t>(716) 859-1470</t>
  </si>
  <si>
    <t>srachala@buffalo.edu</t>
  </si>
  <si>
    <t>St Francis Williamsville</t>
  </si>
  <si>
    <t>ST FRANCIS HOME OF WILLIAMSVILLE</t>
  </si>
  <si>
    <t>147 REIST ST</t>
  </si>
  <si>
    <t>Alvin M. Panahon MD</t>
  </si>
  <si>
    <t>E0222049</t>
  </si>
  <si>
    <t>PANAHON ALVIN M            MD</t>
  </si>
  <si>
    <t>(716) 298-1635</t>
  </si>
  <si>
    <t>nohanap@hotmail.com</t>
  </si>
  <si>
    <t>PANAHON ALVIN</t>
  </si>
  <si>
    <t>Catholic Charities - Monsignor Carr Institute</t>
  </si>
  <si>
    <t>E0084724</t>
  </si>
  <si>
    <t>CATHOLIC CHARITIES OF WNY MH</t>
  </si>
  <si>
    <t>Dennis Walczyk, CEO</t>
  </si>
  <si>
    <t>dc.walczyk@ccwny.org</t>
  </si>
  <si>
    <t>CATHOLIC CHARITIES OF BUFFALO</t>
  </si>
  <si>
    <t>CATHOLIC CHARITIES BUFFALO</t>
  </si>
  <si>
    <t>520 W STATE ST</t>
  </si>
  <si>
    <t>Catholic Health System Infusion Pharmacy, Inc.</t>
  </si>
  <si>
    <t>E0295327</t>
  </si>
  <si>
    <t>CHESTNUT RIDGE MEDICAL SUPPLIES INC</t>
  </si>
  <si>
    <t>CATHOLIC HEALTH SYSTEM INFUSION PHARMACY INC</t>
  </si>
  <si>
    <t>CATHOLIC HEALTH SYSTEM INFUSION PHA</t>
  </si>
  <si>
    <t>6350 TRANSIT RD</t>
  </si>
  <si>
    <t>Catholic Health System Oral (LTC) Pharmacy, Inc.</t>
  </si>
  <si>
    <t>CATHOLIC HEALTH SYSTEM INFUSION PHARMACY,INC</t>
  </si>
  <si>
    <t>Catholic Health System, Inc.</t>
  </si>
  <si>
    <t>Joseph D. McDonald, CEO</t>
  </si>
  <si>
    <t>(716) 862-2410</t>
  </si>
  <si>
    <t>lahoffman@chsbuffalo.org</t>
  </si>
  <si>
    <t>2121 Main Street, Suite 300</t>
  </si>
  <si>
    <t>Michael Edbauer, DO</t>
  </si>
  <si>
    <t>(716) 862-1260</t>
  </si>
  <si>
    <t>medbauer@chsbuffalo.org</t>
  </si>
  <si>
    <t>1083 Delaware Avenue</t>
  </si>
  <si>
    <t>Debra Lacher</t>
  </si>
  <si>
    <t>dlacher@cattco.org</t>
  </si>
  <si>
    <t>1 Leo Moss Drive, Suite 4010</t>
  </si>
  <si>
    <t>Celestino Pietrantoni DO</t>
  </si>
  <si>
    <t>Gant W. Stephenson MD</t>
  </si>
  <si>
    <t>E0195693</t>
  </si>
  <si>
    <t>STEPHENSON GRANT W</t>
  </si>
  <si>
    <t>STEPHENSON GRANT</t>
  </si>
  <si>
    <t>Cassandra Rockwell PA</t>
  </si>
  <si>
    <t>E0314309</t>
  </si>
  <si>
    <t>DUNN CASSANDRA H</t>
  </si>
  <si>
    <t>ROCKWELL CASSANDRA MS.</t>
  </si>
  <si>
    <t>ROCKWELL CASSANDRA</t>
  </si>
  <si>
    <t>Eileen Smith PA</t>
  </si>
  <si>
    <t>E0011858</t>
  </si>
  <si>
    <t>SMITH EILEEN RPA</t>
  </si>
  <si>
    <t>SMITH EILEEN MRS.</t>
  </si>
  <si>
    <t>SMITH EILEEN MARY RPA</t>
  </si>
  <si>
    <t>Abby McCarville PA</t>
  </si>
  <si>
    <t>MCCARVILLE ABBY</t>
  </si>
  <si>
    <t>Adele Corbett NP</t>
  </si>
  <si>
    <t>E0372789</t>
  </si>
  <si>
    <t>CORBETT ADELE M</t>
  </si>
  <si>
    <t>CORBETT ADELE</t>
  </si>
  <si>
    <t>Alica Stuart PA</t>
  </si>
  <si>
    <t>Allison Nixon PA</t>
  </si>
  <si>
    <t>Allyson Vanacek PA</t>
  </si>
  <si>
    <t>E0341671</t>
  </si>
  <si>
    <t>VANECEK ALLYSON LYNN</t>
  </si>
  <si>
    <t>MECCA ALLYSON</t>
  </si>
  <si>
    <t>MECCA ALLYSON LYNN</t>
  </si>
  <si>
    <t>Fernando Domondon Jr MD</t>
  </si>
  <si>
    <t>E0138918</t>
  </si>
  <si>
    <t>DOMONDON FERNANDO B JR MD</t>
  </si>
  <si>
    <t>DOMONDON FERNANDO</t>
  </si>
  <si>
    <t>Franco E Vigna MD</t>
  </si>
  <si>
    <t>Lori Nicholas</t>
  </si>
  <si>
    <t>fevmdpllc@roadrunner.com</t>
  </si>
  <si>
    <t>Frank B. Perillo DPM</t>
  </si>
  <si>
    <t>podo1978@roadrunner.com</t>
  </si>
  <si>
    <t>Frank Laurri MD</t>
  </si>
  <si>
    <t>E0188579</t>
  </si>
  <si>
    <t>LAURRI FRANK ROBERT MD</t>
  </si>
  <si>
    <t>LAURRI FRANK</t>
  </si>
  <si>
    <t>Frank Lee MD</t>
  </si>
  <si>
    <t>E0091629</t>
  </si>
  <si>
    <t>LEE FRANK M MD</t>
  </si>
  <si>
    <t>LEE FRANK</t>
  </si>
  <si>
    <t>Frank Schlehr MD</t>
  </si>
  <si>
    <t>Frank Schreck MD</t>
  </si>
  <si>
    <t>Frederick C Gass MD</t>
  </si>
  <si>
    <t>E0119109</t>
  </si>
  <si>
    <t>GASS FREDERICK C MD</t>
  </si>
  <si>
    <t>Julie Robel</t>
  </si>
  <si>
    <t>jrobel@southtownsent.com</t>
  </si>
  <si>
    <t>GASS FREDERICK</t>
  </si>
  <si>
    <t>SUITE 102</t>
  </si>
  <si>
    <t>Frederick Hong MD</t>
  </si>
  <si>
    <t>Frederick McAdam MD</t>
  </si>
  <si>
    <t>Frederick Piwko MD</t>
  </si>
  <si>
    <t>E0104407</t>
  </si>
  <si>
    <t>PIWKO FREDERICK JOSEPH MD</t>
  </si>
  <si>
    <t>Molly Rickard</t>
  </si>
  <si>
    <t>(716) 439-4248</t>
  </si>
  <si>
    <t>office_drpiwko@yahoo.com</t>
  </si>
  <si>
    <t>PIWKO FREDERICK</t>
  </si>
  <si>
    <t>3805 LOCKPORT OLCOTT RD</t>
  </si>
  <si>
    <t>Frederick Poynton MD</t>
  </si>
  <si>
    <t>E0121066</t>
  </si>
  <si>
    <t>POYNTON FREDERICK G MD</t>
  </si>
  <si>
    <t>POYNTON FREDERICK DR.</t>
  </si>
  <si>
    <t>NIAGARA RADIOL PC</t>
  </si>
  <si>
    <t>Frida Gelfer MD</t>
  </si>
  <si>
    <t>E0115741</t>
  </si>
  <si>
    <t>GELFER FRIDA</t>
  </si>
  <si>
    <t>Friedrich Albrecht MD</t>
  </si>
  <si>
    <t>fred63.albrecht@gmail.com</t>
  </si>
  <si>
    <t>Fuad Sheriff MD</t>
  </si>
  <si>
    <t>Julio A Alvarez-Perez MD</t>
  </si>
  <si>
    <t>E0196737</t>
  </si>
  <si>
    <t>ALVAREZ PEREZ JULIO A MD</t>
  </si>
  <si>
    <t>Dave Anderson</t>
  </si>
  <si>
    <t>danders.va@gmail.com</t>
  </si>
  <si>
    <t>ALVAREZ-PEREZ JULIO DR.</t>
  </si>
  <si>
    <t>Justin D Miller MD</t>
  </si>
  <si>
    <t>E0310571</t>
  </si>
  <si>
    <t>MILLER JUSTIN</t>
  </si>
  <si>
    <t>MILLER JUSTIN DAVID</t>
  </si>
  <si>
    <t>Jyotsna Rajeswary MD</t>
  </si>
  <si>
    <t>Kandala Chary MD</t>
  </si>
  <si>
    <t>Karen Krutchick MD</t>
  </si>
  <si>
    <t>Karen Snell-Garus MD</t>
  </si>
  <si>
    <t>kasmd69@aol.com</t>
  </si>
  <si>
    <t>Laura Contreras-Goode CRNA</t>
  </si>
  <si>
    <t>CONTRERAS-GOODE LAURA</t>
  </si>
  <si>
    <t>Lynn Kahn CRNA</t>
  </si>
  <si>
    <t>E0101458</t>
  </si>
  <si>
    <t>KAHN LYNN</t>
  </si>
  <si>
    <t>RPCI-CLIN PRAC PLAN</t>
  </si>
  <si>
    <t>Sandeep Kaur CRNA</t>
  </si>
  <si>
    <t>Jennifer Renzetti CRNA</t>
  </si>
  <si>
    <t>RENZETTI JENNIFER</t>
  </si>
  <si>
    <t>Boris Rozuk CRNA</t>
  </si>
  <si>
    <t>ROZUK BORIS</t>
  </si>
  <si>
    <t>Mary Schultz CRNA</t>
  </si>
  <si>
    <t>SCHULTZ MARY</t>
  </si>
  <si>
    <t>Ann  Stenger (Ruch) CRNA</t>
  </si>
  <si>
    <t>STENGER ANN</t>
  </si>
  <si>
    <t>Rebecca Tingley CRNA</t>
  </si>
  <si>
    <t>TINGLEY REBECCA</t>
  </si>
  <si>
    <t>Kevin Apolito DDS</t>
  </si>
  <si>
    <t>E0018364</t>
  </si>
  <si>
    <t>APOLITO KEVIN</t>
  </si>
  <si>
    <t>APOLITO KEVIN DR.</t>
  </si>
  <si>
    <t>APOLITO KEVIN M</t>
  </si>
  <si>
    <t>David  Casey DDS</t>
  </si>
  <si>
    <t>E0233190</t>
  </si>
  <si>
    <t>CASEY DAVID M             DDS</t>
  </si>
  <si>
    <t>CASEY DAVID</t>
  </si>
  <si>
    <t>CASEY DAVID MICHAEL</t>
  </si>
  <si>
    <t>Michael Hess DDS</t>
  </si>
  <si>
    <t>Anthony Lister DDS</t>
  </si>
  <si>
    <t>Philip Williams DDS</t>
  </si>
  <si>
    <t>E0292683</t>
  </si>
  <si>
    <t>WILLIAMS PHILIP</t>
  </si>
  <si>
    <t>WILLIAMS PHILIP DWIGHT</t>
  </si>
  <si>
    <t>Wesley Hicks, Jr. DDS, MD</t>
  </si>
  <si>
    <t>Corrie O'Hara DNP</t>
  </si>
  <si>
    <t>E0352362</t>
  </si>
  <si>
    <t>O'HARA CORRIE</t>
  </si>
  <si>
    <t>Julia Barber Faller DO</t>
  </si>
  <si>
    <t>E0293513</t>
  </si>
  <si>
    <t>FALLER JULIA BARBER MD</t>
  </si>
  <si>
    <t>BARBER FALLER JULIA</t>
  </si>
  <si>
    <t>Brian Matier MD</t>
  </si>
  <si>
    <t>Brian McGrath MD</t>
  </si>
  <si>
    <t>bem4@buffalo.edu</t>
  </si>
  <si>
    <t>Brian Rambarran MD</t>
  </si>
  <si>
    <t>(716) 898-2800</t>
  </si>
  <si>
    <t>Brian Smith MD</t>
  </si>
  <si>
    <t>Brian Snyder MD</t>
  </si>
  <si>
    <t>E0186683</t>
  </si>
  <si>
    <t>SNYDER BRIAN D MD</t>
  </si>
  <si>
    <t>SNYDER BRIAN</t>
  </si>
  <si>
    <t>SNYDER BRIAN DEAN</t>
  </si>
  <si>
    <t>GARDEN GATE HLTH</t>
  </si>
  <si>
    <t>Bruce Naughton MD</t>
  </si>
  <si>
    <t>bnaughton@chsbuffalo.org</t>
  </si>
  <si>
    <t>Bruce Platt MD</t>
  </si>
  <si>
    <t>Bruce Rodgers MD</t>
  </si>
  <si>
    <t>E0209633</t>
  </si>
  <si>
    <t>RODGERS BRUCE D            MD</t>
  </si>
  <si>
    <t>RODGERS BRUCE DR.</t>
  </si>
  <si>
    <t>MARGARET ALFANO</t>
  </si>
  <si>
    <t>BryLin Hospitals, Inc.</t>
  </si>
  <si>
    <t>E0328638</t>
  </si>
  <si>
    <t>BRY-LIN HOSPITAL</t>
  </si>
  <si>
    <t>Paul Hettich</t>
  </si>
  <si>
    <t>(716) 886-8200</t>
  </si>
  <si>
    <t>phettich@brylin.com</t>
  </si>
  <si>
    <t>BRYLIN HOSPITALS</t>
  </si>
  <si>
    <t>BRY-LIN HOSPITALS INC</t>
  </si>
  <si>
    <t>E0377655</t>
  </si>
  <si>
    <t>(716) 886-8201</t>
  </si>
  <si>
    <t>BRYLIN HOSPITALS, INC.</t>
  </si>
  <si>
    <t>BRYLIN HOSPITALS INC</t>
  </si>
  <si>
    <t>531 FARBER LAKES DR STE 201</t>
  </si>
  <si>
    <t>E0372991</t>
  </si>
  <si>
    <t>BRY-LIN HOSPITAL INC</t>
  </si>
  <si>
    <t>(716) 886-8202</t>
  </si>
  <si>
    <t>Transitional Services Inc.</t>
  </si>
  <si>
    <t>Rosemary Duran</t>
  </si>
  <si>
    <t>(716) 819-1758</t>
  </si>
  <si>
    <t>rduran@tsiwny.org</t>
  </si>
  <si>
    <t>Aaron Pflazer MD</t>
  </si>
  <si>
    <t>Flexiberto Cosico MD</t>
  </si>
  <si>
    <t>John Tallett MD</t>
  </si>
  <si>
    <t>E0140005</t>
  </si>
  <si>
    <t>TALLETT JOHN R MD</t>
  </si>
  <si>
    <t>(716) 672-4040</t>
  </si>
  <si>
    <t>TALLETT JOHN DR.</t>
  </si>
  <si>
    <t>James Campion MD</t>
  </si>
  <si>
    <t>E0134161</t>
  </si>
  <si>
    <t>CAMPION JAMES PATTERSON MD</t>
  </si>
  <si>
    <t>(716) 488-1877</t>
  </si>
  <si>
    <t>CAMPION JAMES</t>
  </si>
  <si>
    <t>STE 2600</t>
  </si>
  <si>
    <t>Keith Kulju MD</t>
  </si>
  <si>
    <t>E0228745</t>
  </si>
  <si>
    <t>KULJU KEITH WILLIAM MD</t>
  </si>
  <si>
    <t>KULJU KEITH</t>
  </si>
  <si>
    <t>Frank Arnal MD</t>
  </si>
  <si>
    <t>E0152411</t>
  </si>
  <si>
    <t>ARNAL FRANK MD</t>
  </si>
  <si>
    <t>ARNAL FRANK</t>
  </si>
  <si>
    <t>Roman Antonio MD</t>
  </si>
  <si>
    <t>E0168064</t>
  </si>
  <si>
    <t>ROMAN ANTONIO MD</t>
  </si>
  <si>
    <t>(716) 483-2320</t>
  </si>
  <si>
    <t>ROMAN ANTONIO</t>
  </si>
  <si>
    <t>CHAUTAUQUA CARD ASSO</t>
  </si>
  <si>
    <t>George So MD</t>
  </si>
  <si>
    <t>E0064095</t>
  </si>
  <si>
    <t>SO GEORGE LAM MD</t>
  </si>
  <si>
    <t>SO GEORGE</t>
  </si>
  <si>
    <t>STE 1100</t>
  </si>
  <si>
    <t>James Cirbus MD</t>
  </si>
  <si>
    <t>E0222331</t>
  </si>
  <si>
    <t>CIRBUS JAMES JOSEPH MD</t>
  </si>
  <si>
    <t>CIRBUS JAMES</t>
  </si>
  <si>
    <t>31 SHERMAN ST</t>
  </si>
  <si>
    <t>Mateusz Opyrchal MD</t>
  </si>
  <si>
    <t>E0362285</t>
  </si>
  <si>
    <t>OPYRCHAL MATEUSZ</t>
  </si>
  <si>
    <t>Juanne Osigweh MD</t>
  </si>
  <si>
    <t>E0417829</t>
  </si>
  <si>
    <t>OSIGWEH JUANNE MARLYN</t>
  </si>
  <si>
    <t>OSIGWEH JUANNE</t>
  </si>
  <si>
    <t>Tolutope Olusii Oyasiji MD</t>
  </si>
  <si>
    <t>E0348822</t>
  </si>
  <si>
    <t>OYASIJI TOLUTOPE OLUSIJI</t>
  </si>
  <si>
    <t>OYASIJI TOLUTOPE</t>
  </si>
  <si>
    <t>Sadat Ozair MD</t>
  </si>
  <si>
    <t>E0347224</t>
  </si>
  <si>
    <t>OZAIR SADAT</t>
  </si>
  <si>
    <t>Cemile Ozturk MD</t>
  </si>
  <si>
    <t>E0378473</t>
  </si>
  <si>
    <t>OZTURK CEMILE NURDAN</t>
  </si>
  <si>
    <t>OZTURK CEMILE</t>
  </si>
  <si>
    <t>Antonios Papanicolau-Sengos MD</t>
  </si>
  <si>
    <t>E0390803</t>
  </si>
  <si>
    <t>PAPANICOLAU-SENGOS ANTONIOS</t>
  </si>
  <si>
    <t>Wesley Papenfuss MD</t>
  </si>
  <si>
    <t>E0335614</t>
  </si>
  <si>
    <t>PAPENFUSS WESLEY</t>
  </si>
  <si>
    <t>Gyorgy Paragh MD</t>
  </si>
  <si>
    <t>E0385093</t>
  </si>
  <si>
    <t>PARAGH GYORGY</t>
  </si>
  <si>
    <t>Priyankkumar Patel MD</t>
  </si>
  <si>
    <t>E0393692</t>
  </si>
  <si>
    <t>PATEL PRIYANKKUMAR P</t>
  </si>
  <si>
    <t>PATEL PRIYANKKUMAR</t>
  </si>
  <si>
    <t>Boris Pechenik MD</t>
  </si>
  <si>
    <t>Nicholas Perry MD</t>
  </si>
  <si>
    <t>E0384498</t>
  </si>
  <si>
    <t>PERRY NICHOLAS ANTHONY</t>
  </si>
  <si>
    <t>PERRY NICHOLAS</t>
  </si>
  <si>
    <t>Michael Petroziello MD</t>
  </si>
  <si>
    <t>Anthony Picone MD</t>
  </si>
  <si>
    <t>Roberto Pili MD</t>
  </si>
  <si>
    <t>Edward Piotrowski MD</t>
  </si>
  <si>
    <t>E0134277</t>
  </si>
  <si>
    <t>PIOTROWSKI EDWARD STANLEY MD</t>
  </si>
  <si>
    <t>PIOTROWSKI EDWARD</t>
  </si>
  <si>
    <t>Robert Plunkett MD</t>
  </si>
  <si>
    <t>John Powell MD</t>
  </si>
  <si>
    <t>Dheerendra Prasad MD</t>
  </si>
  <si>
    <t>Ameneh Habir</t>
  </si>
  <si>
    <t>E0001875</t>
  </si>
  <si>
    <t>HABIR AMENEH</t>
  </si>
  <si>
    <t>515 ABBOTT RD STE 302</t>
  </si>
  <si>
    <t>Amy Beach</t>
  </si>
  <si>
    <t>E0143150</t>
  </si>
  <si>
    <t>BEACH AMY REBECCA</t>
  </si>
  <si>
    <t>BEACH AMY MRS.</t>
  </si>
  <si>
    <t>Amy J. Burke MD</t>
  </si>
  <si>
    <t>Brittany Clarke</t>
  </si>
  <si>
    <t>brittany.clarke@sunrisewny.com</t>
  </si>
  <si>
    <t>Amy Wnek-Hassenfratz MD</t>
  </si>
  <si>
    <t>E0068828</t>
  </si>
  <si>
    <t>WNEK AMY LYNN MD</t>
  </si>
  <si>
    <t>WNEK AMY</t>
  </si>
  <si>
    <t>Anandaram Herle MD</t>
  </si>
  <si>
    <t>E0238622</t>
  </si>
  <si>
    <t>HERLE P ANANDARAM          MD</t>
  </si>
  <si>
    <t>Kimberly Hoyt</t>
  </si>
  <si>
    <t>(716) 558-7555</t>
  </si>
  <si>
    <t>Kimberly.hoyt@trinitymedicalwny.com</t>
  </si>
  <si>
    <t>HERLE P. ANANDARAM</t>
  </si>
  <si>
    <t>HERLE P ANANDARAM MD</t>
  </si>
  <si>
    <t>Andrea Johnson</t>
  </si>
  <si>
    <t>E0178556</t>
  </si>
  <si>
    <t>JOHNSON ANDREA MARIE MD</t>
  </si>
  <si>
    <t>JOHNSON ANDREA DR.</t>
  </si>
  <si>
    <t>Andrew Green MD</t>
  </si>
  <si>
    <t>E0238497</t>
  </si>
  <si>
    <t>GREEN ANDREW W             MD</t>
  </si>
  <si>
    <t>GREEN ANDREW DR.</t>
  </si>
  <si>
    <t>GREEN ANDREW W</t>
  </si>
  <si>
    <t>Andrew J. Harbison DO</t>
  </si>
  <si>
    <t>E0115703</t>
  </si>
  <si>
    <t>HARBISON ANDREW</t>
  </si>
  <si>
    <t>HARBISON ANDREW DR.</t>
  </si>
  <si>
    <t>Andrew Landis</t>
  </si>
  <si>
    <t>Andrew Luisi, Jr. MD</t>
  </si>
  <si>
    <t>aluisi@buffalomedicalgroup.com</t>
  </si>
  <si>
    <t>Andrew Siedlecki MD</t>
  </si>
  <si>
    <t>Nicole Beach</t>
  </si>
  <si>
    <t>nb.visioncare@ymail.com</t>
  </si>
  <si>
    <t>Andrew Soh MD</t>
  </si>
  <si>
    <t>Beth Schmidt</t>
  </si>
  <si>
    <t>AYSBJS@aol.com</t>
  </si>
  <si>
    <t>Andrew Stoeckl MD</t>
  </si>
  <si>
    <t>Andrew W. Halsdorfer DO</t>
  </si>
  <si>
    <t>E0076255</t>
  </si>
  <si>
    <t>HALSDORFER ANDREW W MD</t>
  </si>
  <si>
    <t>ahalsdorfer@buffalomedicalgroup.com</t>
  </si>
  <si>
    <t>HALSDORFER ANDREW DR.</t>
  </si>
  <si>
    <t>Andrew Warner MD</t>
  </si>
  <si>
    <t>Anees Ahmad MD</t>
  </si>
  <si>
    <t>Ann Schapiro MD</t>
  </si>
  <si>
    <t>E0026279</t>
  </si>
  <si>
    <t>SCHAPIRO ANN E MD</t>
  </si>
  <si>
    <t>SCHAPIRO ANN</t>
  </si>
  <si>
    <t>SCHAPIRO ANN ELIZABETH</t>
  </si>
  <si>
    <t>Annaliese Noack DO</t>
  </si>
  <si>
    <t>E0338252</t>
  </si>
  <si>
    <t>NOACK ANNALIESE ERIKA</t>
  </si>
  <si>
    <t>anoack@buffalomedicalgroup.com</t>
  </si>
  <si>
    <t>NOACK ANNALIESE</t>
  </si>
  <si>
    <t>Anthony Bartholomew</t>
  </si>
  <si>
    <t>Anthony Freundel MD</t>
  </si>
  <si>
    <t>Anthony J Buscaglia MD</t>
  </si>
  <si>
    <t>E0239222</t>
  </si>
  <si>
    <t>BUSCAGLIA ANTHONY JOSEPH   MD</t>
  </si>
  <si>
    <t>Toi Buscaglia</t>
  </si>
  <si>
    <t>(716) 824-0266</t>
  </si>
  <si>
    <t>toi_bus@yahoo.com</t>
  </si>
  <si>
    <t>BUSCAGLIA ANTHONY DR.</t>
  </si>
  <si>
    <t>BUSCAGLIA ANTHONY JOSEPH</t>
  </si>
  <si>
    <t>Anthony Pivarunas DO</t>
  </si>
  <si>
    <t>E0152318</t>
  </si>
  <si>
    <t>PIVARUNAS ANTHONY R DO</t>
  </si>
  <si>
    <t>PIVARUNAS ANTHONY</t>
  </si>
  <si>
    <t>Anthony Ricottone MD</t>
  </si>
  <si>
    <t>Anthony Vetrano MD</t>
  </si>
  <si>
    <t>Aravind Herle MD</t>
  </si>
  <si>
    <t>E0085378</t>
  </si>
  <si>
    <t>HERLE ARAVIND MD</t>
  </si>
  <si>
    <t>HERLE ARAVIND DR.</t>
  </si>
  <si>
    <t>Arif S. Syed MD</t>
  </si>
  <si>
    <t>E0322871</t>
  </si>
  <si>
    <t>SYED ARIF</t>
  </si>
  <si>
    <t>SYED ARIF DR.</t>
  </si>
  <si>
    <t>SYED ARIF SUHALE</t>
  </si>
  <si>
    <t>Arooj Shaikh MD</t>
  </si>
  <si>
    <t>E0116256</t>
  </si>
  <si>
    <t>SHAIKH AROOJ</t>
  </si>
  <si>
    <t>SHAIKH AROOJ DR.</t>
  </si>
  <si>
    <t>SHAIKH AROOJ MAQBOOL</t>
  </si>
  <si>
    <t>Arthur G. Ostrum Jr DO</t>
  </si>
  <si>
    <t>E0172703</t>
  </si>
  <si>
    <t>OSTRUM ARTHUR GEORGE JR DO</t>
  </si>
  <si>
    <t>OSTRUM ARTHUR</t>
  </si>
  <si>
    <t>Arundathi Namassivaya MD</t>
  </si>
  <si>
    <t>Arvind K. Wadhwa MD</t>
  </si>
  <si>
    <t>colleen osborne</t>
  </si>
  <si>
    <t>wadhwaoffice@gmail.com</t>
  </si>
  <si>
    <t>Ashish Bhatia MD</t>
  </si>
  <si>
    <t>Tori Haseley</t>
  </si>
  <si>
    <t>haseleyt@gmail.com</t>
  </si>
  <si>
    <t>Ashok Kaushal MD</t>
  </si>
  <si>
    <t>E0198783</t>
  </si>
  <si>
    <t>KAUSHAL ASHOK MD</t>
  </si>
  <si>
    <t>KAUSHAL ASHOK</t>
  </si>
  <si>
    <t>Katherine Frachetti MD</t>
  </si>
  <si>
    <t>E0295776</t>
  </si>
  <si>
    <t>FRACHETTI KATHERINE J</t>
  </si>
  <si>
    <t>FRACHETTI KATHERINE</t>
  </si>
  <si>
    <t>Katherine Gaines MD</t>
  </si>
  <si>
    <t>Katherine O'Donnell MD</t>
  </si>
  <si>
    <t>Thomas Raab MD</t>
  </si>
  <si>
    <t>E0226904</t>
  </si>
  <si>
    <t>RAAB THOMAS ALBERT         MD</t>
  </si>
  <si>
    <t>BKV1807@chsbuffalo.org</t>
  </si>
  <si>
    <t>RAAB THOMAS</t>
  </si>
  <si>
    <t>Thomas S. Artim MD</t>
  </si>
  <si>
    <t>Craig Fetterman MD</t>
  </si>
  <si>
    <t>E0075435</t>
  </si>
  <si>
    <t>FETTERMAN CHARLES J MD</t>
  </si>
  <si>
    <t>craigfett@roadrunner.com</t>
  </si>
  <si>
    <t>FETTERMAN CHARLES</t>
  </si>
  <si>
    <t>FETTERMAN CHARLES JASON</t>
  </si>
  <si>
    <t>70 PROFESSIONAL PRKY</t>
  </si>
  <si>
    <t>Craig MacLean DO</t>
  </si>
  <si>
    <t>Lynn Fyock</t>
  </si>
  <si>
    <t>fyock3530@aol.com</t>
  </si>
  <si>
    <t>Dale L Deahn MD</t>
  </si>
  <si>
    <t>Amy Gilbert</t>
  </si>
  <si>
    <t>agilbertoffice@yahoo.com</t>
  </si>
  <si>
    <t>Dale Wheeler MD</t>
  </si>
  <si>
    <t>Dalip Khurana MD</t>
  </si>
  <si>
    <t>E0228592</t>
  </si>
  <si>
    <t>DALIP K KHURANA, MD., PLLC</t>
  </si>
  <si>
    <t>(716) 592-4166</t>
  </si>
  <si>
    <t>Dalipkhurana@yahoo.com</t>
  </si>
  <si>
    <t>KHURANA DALIP DR.</t>
  </si>
  <si>
    <t>KHURANA DALIP KUMAR</t>
  </si>
  <si>
    <t>WEST SENECA MED CTR</t>
  </si>
  <si>
    <t>Dan Weitzenkorn MD</t>
  </si>
  <si>
    <t>E0340283</t>
  </si>
  <si>
    <t>WEITZENKORN DAN EDWARD</t>
  </si>
  <si>
    <t>WEITZENKORN DAN DR.</t>
  </si>
  <si>
    <t>3095HARLEM ROAD</t>
  </si>
  <si>
    <t>Dana Jandzinski MD</t>
  </si>
  <si>
    <t>E0022667</t>
  </si>
  <si>
    <t>JANDZINSKI DANA I MD</t>
  </si>
  <si>
    <t>hikenbike30@yahoo.com</t>
  </si>
  <si>
    <t>JANDZINSKI DANA DR.</t>
  </si>
  <si>
    <t>Dang Tuan Pham MD</t>
  </si>
  <si>
    <t>E0289673</t>
  </si>
  <si>
    <t>PHAM DANG TUAN MD</t>
  </si>
  <si>
    <t>Huyen Pham</t>
  </si>
  <si>
    <t>(716) 893-0333</t>
  </si>
  <si>
    <t>huyenp@buffaloweightlosssurgery.com</t>
  </si>
  <si>
    <t>PHAM DANG TUAN</t>
  </si>
  <si>
    <t>30 N UNION RD STE 104</t>
  </si>
  <si>
    <t>Daniel B Keating DPM</t>
  </si>
  <si>
    <t>Daniel Cotter MD</t>
  </si>
  <si>
    <t>E0291980</t>
  </si>
  <si>
    <t>COTTER DANIEL MAURICE MD</t>
  </si>
  <si>
    <t>COTTER DANIEL DR.</t>
  </si>
  <si>
    <t>Daniel J Patterson DO</t>
  </si>
  <si>
    <t>Daniel Kassavin MD</t>
  </si>
  <si>
    <t>E0354677</t>
  </si>
  <si>
    <t>KASSAVIN DANIEL S</t>
  </si>
  <si>
    <t>KASSAVIN DANIEL</t>
  </si>
  <si>
    <t>Daniel Leary MD</t>
  </si>
  <si>
    <t>Daniel Molloy MD</t>
  </si>
  <si>
    <t>E0368409</t>
  </si>
  <si>
    <t>MOLLOY DANIEL JOSEPH</t>
  </si>
  <si>
    <t>MOLLOY DANIEL DR.</t>
  </si>
  <si>
    <t>Daniel Murak MD</t>
  </si>
  <si>
    <t>E0186591</t>
  </si>
  <si>
    <t>MURAK DANIEL J MD</t>
  </si>
  <si>
    <t>MURAK DANIEL</t>
  </si>
  <si>
    <t>MURAK DANIEL J</t>
  </si>
  <si>
    <t>Daniel S. Camara MD</t>
  </si>
  <si>
    <t>E0196683</t>
  </si>
  <si>
    <t>SETTE CAMARA DANIEL MD</t>
  </si>
  <si>
    <t>CAMARA DANIEL DR.</t>
  </si>
  <si>
    <t>SETTE CAMARA DANIEL DE CARVALHO</t>
  </si>
  <si>
    <t>Daniel Schaefer MD</t>
  </si>
  <si>
    <t>Katherine Hill</t>
  </si>
  <si>
    <t>kathilldps@verizon.net</t>
  </si>
  <si>
    <t>Daniel Trock MD</t>
  </si>
  <si>
    <t>Daniel Wild MD</t>
  </si>
  <si>
    <t>(716) 631-1117</t>
  </si>
  <si>
    <t>dwild@buffalomedicalgroup.com</t>
  </si>
  <si>
    <t>CHS Surgery Assts.</t>
  </si>
  <si>
    <t>E0354279</t>
  </si>
  <si>
    <t>CHS SURGERY ASSISTANTS</t>
  </si>
  <si>
    <t>Cindy Romanowski MD</t>
  </si>
  <si>
    <t>E0125552</t>
  </si>
  <si>
    <t>ROMANOWSKI CINDY R MD</t>
  </si>
  <si>
    <t>ROMANOWSKI CINDY DR.</t>
  </si>
  <si>
    <t>Claude Sy MD</t>
  </si>
  <si>
    <t>E0140922</t>
  </si>
  <si>
    <t>SY CLAUDE GO MD</t>
  </si>
  <si>
    <t>SY CLAUDE</t>
  </si>
  <si>
    <t>SY CLAUDE GO</t>
  </si>
  <si>
    <t>Claudia D. Fosket MD</t>
  </si>
  <si>
    <t>E0180132</t>
  </si>
  <si>
    <t>FOSKET CLAUDIA MD</t>
  </si>
  <si>
    <t>midop@verizon.net</t>
  </si>
  <si>
    <t>FOSKET CLAUDIA DR.</t>
  </si>
  <si>
    <t>Colleen Schwarz</t>
  </si>
  <si>
    <t>Community Concern of Western New York Inc.</t>
  </si>
  <si>
    <t>Jerry S. Barone MA MBA</t>
  </si>
  <si>
    <t>jbartone@communityconcern.org</t>
  </si>
  <si>
    <t>Budder Siddiqui MD</t>
  </si>
  <si>
    <t>(716) 531-3480</t>
  </si>
  <si>
    <t>buddersiddiqui@hotmail.com</t>
  </si>
  <si>
    <t>Buffalo Hearing &amp; Speech</t>
  </si>
  <si>
    <t>E0252045</t>
  </si>
  <si>
    <t>BUFFALO HEARING &amp; SPEECH CTR</t>
  </si>
  <si>
    <t>Joe Sonnenberg</t>
  </si>
  <si>
    <t>(716) 885-8871</t>
  </si>
  <si>
    <t>jsonnenberg@askbhsc.org</t>
  </si>
  <si>
    <t>BUFFALO HEARING &amp; SPEECH CENTER, INC</t>
  </si>
  <si>
    <t>Connie Schweitzer, CEO</t>
  </si>
  <si>
    <t>cms@bppn.org</t>
  </si>
  <si>
    <t>625 Delaware Ave.</t>
  </si>
  <si>
    <t>Joseph Gelormini MD</t>
  </si>
  <si>
    <t>200 OHIO STREET</t>
  </si>
  <si>
    <t>John Roehmholdt MD</t>
  </si>
  <si>
    <t>John Rutkowski MD</t>
  </si>
  <si>
    <t>John Santillo MD</t>
  </si>
  <si>
    <t>E0309774</t>
  </si>
  <si>
    <t>SANTILLO JOHN RICHARD</t>
  </si>
  <si>
    <t>SANTILLO JOHN DR.</t>
  </si>
  <si>
    <t>John Sauret MD</t>
  </si>
  <si>
    <t>E0131191</t>
  </si>
  <si>
    <t>SAURET JOHN MD</t>
  </si>
  <si>
    <t>SAURET JOHN</t>
  </si>
  <si>
    <t>John V. Pinski MD</t>
  </si>
  <si>
    <t>Johnny Yap MD</t>
  </si>
  <si>
    <t>E0029604</t>
  </si>
  <si>
    <t>YAP JOHNNY CHUN-YA MD</t>
  </si>
  <si>
    <t>yapccs@yahoo.com</t>
  </si>
  <si>
    <t>YAP JOHNNY</t>
  </si>
  <si>
    <t>Jonathan Coolidge MD</t>
  </si>
  <si>
    <t>E0323972</t>
  </si>
  <si>
    <t>COOLIDGE JONATHAN N</t>
  </si>
  <si>
    <t>COOLIDGE JONATHAN DR.</t>
  </si>
  <si>
    <t>COOLIDGE JONATHAN NORWOOD</t>
  </si>
  <si>
    <t>Jonathan Edelson MD</t>
  </si>
  <si>
    <t>Jose de Perio III MD</t>
  </si>
  <si>
    <t>E0115709</t>
  </si>
  <si>
    <t>DEPERIO JOSE</t>
  </si>
  <si>
    <t>Rowena dePerio</t>
  </si>
  <si>
    <t>(716) 683-4196</t>
  </si>
  <si>
    <t>jewelinasia@aol.com</t>
  </si>
  <si>
    <t>DE PERIO JOSE DR.</t>
  </si>
  <si>
    <t>Jose Perez-Brache MD</t>
  </si>
  <si>
    <t>E0156237</t>
  </si>
  <si>
    <t>PEREZ BRACHE JOSE G MD</t>
  </si>
  <si>
    <t>PEREZ-BRACHE JOSE</t>
  </si>
  <si>
    <t>BROOKS MEM HOSP</t>
  </si>
  <si>
    <t>Joseph A. Ralabate MD</t>
  </si>
  <si>
    <t>E0235540</t>
  </si>
  <si>
    <t>RALABATE JOSEPH A          MD</t>
  </si>
  <si>
    <t>Corrine Brown</t>
  </si>
  <si>
    <t>(716) 983-1172</t>
  </si>
  <si>
    <t>jarmd@cavtel.net</t>
  </si>
  <si>
    <t>RALABATE JOSEPH</t>
  </si>
  <si>
    <t>Joseph Bax MD</t>
  </si>
  <si>
    <t>Cathleen Cunningham</t>
  </si>
  <si>
    <t>cathiec18@yahoo.com</t>
  </si>
  <si>
    <t>Joseph Buran MD</t>
  </si>
  <si>
    <t>Kristina Buran</t>
  </si>
  <si>
    <t>kburan@bonesmd.org</t>
  </si>
  <si>
    <t>Joseph Corigliano DO</t>
  </si>
  <si>
    <t>E0134348</t>
  </si>
  <si>
    <t>CORIGLIANO JOSEPH FRANCIS MD</t>
  </si>
  <si>
    <t>jcorigliano@buffalomedicalgroup.com</t>
  </si>
  <si>
    <t>CORIGLIANO JOSEPH DR.</t>
  </si>
  <si>
    <t>Joseph Fasanello MD</t>
  </si>
  <si>
    <t>drjosephfasanello@yahoo.com</t>
  </si>
  <si>
    <t>Robert Ramsdell MD</t>
  </si>
  <si>
    <t>Rajiv Ranjan MD</t>
  </si>
  <si>
    <t>E0089729</t>
  </si>
  <si>
    <t>RANJAN RAJIV MD</t>
  </si>
  <si>
    <t>RANJAN RAJIV</t>
  </si>
  <si>
    <t>Charles Roche MD</t>
  </si>
  <si>
    <t>E0044455</t>
  </si>
  <si>
    <t>ROCHE CHARLES LAWRENCE MD</t>
  </si>
  <si>
    <t>ROCHE CHARLES</t>
  </si>
  <si>
    <t>Denise Rokitka MD</t>
  </si>
  <si>
    <t>Maureen  Ross   MD</t>
  </si>
  <si>
    <t>Ilene Rothman MD</t>
  </si>
  <si>
    <t>Jaclyn Schneider MD</t>
  </si>
  <si>
    <t>Thomas Schwaab MD</t>
  </si>
  <si>
    <t>Samuel S'Doia MD</t>
  </si>
  <si>
    <t>E0308721</t>
  </si>
  <si>
    <t>SDOIA SAMUEL WILLIAM</t>
  </si>
  <si>
    <t>S'DOIA SAMUEL</t>
  </si>
  <si>
    <t>Brahm Segal MD</t>
  </si>
  <si>
    <t>Anurag Singh MD</t>
  </si>
  <si>
    <t>Blesilda So MD</t>
  </si>
  <si>
    <t>E0064097</t>
  </si>
  <si>
    <t>SO BLESILDA SARMINENTO MD</t>
  </si>
  <si>
    <t>(716) 483-3520</t>
  </si>
  <si>
    <t>SO BLESILDA</t>
  </si>
  <si>
    <t>JAMES AREA MED ASSOC</t>
  </si>
  <si>
    <t>Peter Robinson MD</t>
  </si>
  <si>
    <t>E0240304</t>
  </si>
  <si>
    <t>ROBINSON PETER S MD</t>
  </si>
  <si>
    <t>(716) 483-5306</t>
  </si>
  <si>
    <t>ROBINSON PETER</t>
  </si>
  <si>
    <t>Matthew Chang MD</t>
  </si>
  <si>
    <t>E0084281</t>
  </si>
  <si>
    <t>CHANG MATTHEW S MD</t>
  </si>
  <si>
    <t>(716) 483-1183</t>
  </si>
  <si>
    <t>CHANG MATTHEW</t>
  </si>
  <si>
    <t>SUITE 2600 2800</t>
  </si>
  <si>
    <t>Russell Lee MD</t>
  </si>
  <si>
    <t>E0320121</t>
  </si>
  <si>
    <t>LEE RUSSELL D</t>
  </si>
  <si>
    <t>LEE RUSSELL DR.</t>
  </si>
  <si>
    <t>15 S MAIN ST STE 170</t>
  </si>
  <si>
    <t>Najmi Kahn MD</t>
  </si>
  <si>
    <t>Evadne Ong MD</t>
  </si>
  <si>
    <t>E0312006</t>
  </si>
  <si>
    <t>ONG EVADNE</t>
  </si>
  <si>
    <t>(716) 488-0232</t>
  </si>
  <si>
    <t>ONG EVADNE DR.</t>
  </si>
  <si>
    <t>ONG EVADNE CHI</t>
  </si>
  <si>
    <t>15 S MAIN ST</t>
  </si>
  <si>
    <t>Timothy Brown MD</t>
  </si>
  <si>
    <t>E0102324</t>
  </si>
  <si>
    <t>BROWN TIMOTHY CHAUNCEY MD</t>
  </si>
  <si>
    <t>BROWN TIMOTHY</t>
  </si>
  <si>
    <t>31 SHERMAN ST STE 1200</t>
  </si>
  <si>
    <t>Dominick Cannone MD</t>
  </si>
  <si>
    <t>E0155510</t>
  </si>
  <si>
    <t>CANNONE DOMINICK  MD</t>
  </si>
  <si>
    <t>(716) 664-7725</t>
  </si>
  <si>
    <t>CANNONE DOMINICK</t>
  </si>
  <si>
    <t>CANNONE DOMINICK MD</t>
  </si>
  <si>
    <t>Brenda Munella NP</t>
  </si>
  <si>
    <t>E0325369</t>
  </si>
  <si>
    <t>MUNELLA BRENDA MAY</t>
  </si>
  <si>
    <t>MUNELLA BRENDA MRS.</t>
  </si>
  <si>
    <t>Tomasz Woloszyn MD</t>
  </si>
  <si>
    <t>E0324355</t>
  </si>
  <si>
    <t>WOLOSZYN TOMASZ</t>
  </si>
  <si>
    <t>(716) 487-9828</t>
  </si>
  <si>
    <t>Kathleen Fanos DO</t>
  </si>
  <si>
    <t>E0072532</t>
  </si>
  <si>
    <t>FANOS KATHLEEN H MD</t>
  </si>
  <si>
    <t>(716) 484-3776</t>
  </si>
  <si>
    <t>FANOS KATHLEEN</t>
  </si>
  <si>
    <t>FANOS KATHLEEN H DO</t>
  </si>
  <si>
    <t>15 S MAIN ST STE 154</t>
  </si>
  <si>
    <t>John LaMamcuso MD</t>
  </si>
  <si>
    <t>E0227515</t>
  </si>
  <si>
    <t>LAMANCUSO JOHN MICHAEL     MD</t>
  </si>
  <si>
    <t>(716) 483-0113</t>
  </si>
  <si>
    <t>LAMANCUSO JOHN</t>
  </si>
  <si>
    <t>Lisa Erickson NP</t>
  </si>
  <si>
    <t>E0034743</t>
  </si>
  <si>
    <t>ERICKSON LISA ANN</t>
  </si>
  <si>
    <t>ERICKSON LISA</t>
  </si>
  <si>
    <t>Randall Sam NP</t>
  </si>
  <si>
    <t>E0077713</t>
  </si>
  <si>
    <t>SAM RANDALL B NP</t>
  </si>
  <si>
    <t>SAM RANDALL</t>
  </si>
  <si>
    <t>SAM RANDALL B</t>
  </si>
  <si>
    <t>Christina Brown MD</t>
  </si>
  <si>
    <t>E0104972</t>
  </si>
  <si>
    <t>BROWN CHRISTINA MARIE MD</t>
  </si>
  <si>
    <t>(716) 484-8610</t>
  </si>
  <si>
    <t>BROWN CHRISTINA DR.</t>
  </si>
  <si>
    <t>Chao-yu Hsu</t>
  </si>
  <si>
    <t>SHIRLEY J SWENSON NP</t>
  </si>
  <si>
    <t>E0044456</t>
  </si>
  <si>
    <t>SWENSON SHIRLEY J</t>
  </si>
  <si>
    <t>(716) 484-7107</t>
  </si>
  <si>
    <t>SWENSON SHIRLEY</t>
  </si>
  <si>
    <t>SWENSON SHIRLEY JOY</t>
  </si>
  <si>
    <t>Nancy Allen MD</t>
  </si>
  <si>
    <t>E0125347</t>
  </si>
  <si>
    <t>ALLEN NANCY ANN MD</t>
  </si>
  <si>
    <t>(716) 484-9194</t>
  </si>
  <si>
    <t>ALLEN NANCY</t>
  </si>
  <si>
    <t>400 FOOTE AVE</t>
  </si>
  <si>
    <t>Robert Daniels MD</t>
  </si>
  <si>
    <t>E0237368</t>
  </si>
  <si>
    <t>DANIELS ROBERT L</t>
  </si>
  <si>
    <t>DANIELS ROBERT</t>
  </si>
  <si>
    <t>Karen Winterburn NP</t>
  </si>
  <si>
    <t>E0108959</t>
  </si>
  <si>
    <t>WINTERBURN KAREN ELIZABETH</t>
  </si>
  <si>
    <t>WINTERBURN KAREN</t>
  </si>
  <si>
    <t>Jeffrey Carrel DPM</t>
  </si>
  <si>
    <t>Louis Baumann MD</t>
  </si>
  <si>
    <t>Louise Tomczak</t>
  </si>
  <si>
    <t>E0049654</t>
  </si>
  <si>
    <t>TOMCZAK LOUISE DOLORES</t>
  </si>
  <si>
    <t>TOMCZAK LOUISE</t>
  </si>
  <si>
    <t>Ludwig, Michael PA-C</t>
  </si>
  <si>
    <t>E0068993</t>
  </si>
  <si>
    <t>LUDWIG MICHAEL F</t>
  </si>
  <si>
    <t>LUDWIG MICHAEL</t>
  </si>
  <si>
    <t>Luisa Rojas MD</t>
  </si>
  <si>
    <t>LuJean Jennings MD,PhD</t>
  </si>
  <si>
    <t>E0157925</t>
  </si>
  <si>
    <t>JENNINGS LU JEAN</t>
  </si>
  <si>
    <t>Carol Kajdasz</t>
  </si>
  <si>
    <t>(716) 285-3464</t>
  </si>
  <si>
    <t>carol.kajdasz@msmh.org</t>
  </si>
  <si>
    <t>JENNINGS LUJEAN DR.</t>
  </si>
  <si>
    <t>Lutheran Home &amp; Rehab Center / Luteran Retirement Home</t>
  </si>
  <si>
    <t>Tom Holt</t>
  </si>
  <si>
    <t>(716) 665-8128</t>
  </si>
  <si>
    <t>tholt@lutheran-jamestown.org</t>
  </si>
  <si>
    <t>LUTHERAN HOUSING REALTY INC</t>
  </si>
  <si>
    <t>GUSTAVUS ADOLPHUS CHILD &amp; FAMILY SERVICES</t>
  </si>
  <si>
    <t>E0263548</t>
  </si>
  <si>
    <t>GUSTAVUS ADOLPHUS CHILD &amp; FAM</t>
  </si>
  <si>
    <t>705 FALCONER ST</t>
  </si>
  <si>
    <t>Lynda Stidham MD</t>
  </si>
  <si>
    <t>E0194719</t>
  </si>
  <si>
    <t>STIDHAM LYNDA MARGARET     MD</t>
  </si>
  <si>
    <t>STIDHAM LYNDA DR.</t>
  </si>
  <si>
    <t>Lyndsey Carlson</t>
  </si>
  <si>
    <t>E0341586</t>
  </si>
  <si>
    <t>CARLSON LYNDSEY M</t>
  </si>
  <si>
    <t>CARLSON LYNDSEY MS.</t>
  </si>
  <si>
    <t>Lynn Aronica MD</t>
  </si>
  <si>
    <t>E0050499</t>
  </si>
  <si>
    <t>ARONICA LYNN-MARIE MD</t>
  </si>
  <si>
    <t>ARONICA LYNN-MARIE DR.</t>
  </si>
  <si>
    <t>Lynn Dunham</t>
  </si>
  <si>
    <t>E0072076</t>
  </si>
  <si>
    <t>DUNHAM LYNN MARIE MD</t>
  </si>
  <si>
    <t>DUNHAM LYNN</t>
  </si>
  <si>
    <t>Lyudmila Nikolaychook MD</t>
  </si>
  <si>
    <t>E0320863</t>
  </si>
  <si>
    <t>NIKOLAYCHOOK LYUDMILA YURYEVNA</t>
  </si>
  <si>
    <t>NIKOLAYCHOOK LYUDMILA DR.</t>
  </si>
  <si>
    <t>M Yousuf Fazili MD</t>
  </si>
  <si>
    <t>Doreen Hannon</t>
  </si>
  <si>
    <t>doreenh56@yahoo.com</t>
  </si>
  <si>
    <t>M. Sadiqur Rahman MD</t>
  </si>
  <si>
    <t>E0113851</t>
  </si>
  <si>
    <t>RAHMAN MUHAMMAD S MD</t>
  </si>
  <si>
    <t>RAHMAN MUHAMMAD</t>
  </si>
  <si>
    <t>230 BEWLEY BUILDING</t>
  </si>
  <si>
    <t>M. Yusuf Siddiqui MD</t>
  </si>
  <si>
    <t>Carol Rindfleisch</t>
  </si>
  <si>
    <t>crindfleisch@verizon.net</t>
  </si>
  <si>
    <t>Maajid Peerzada</t>
  </si>
  <si>
    <t>Madeline Lillie MD</t>
  </si>
  <si>
    <t>E0238235</t>
  </si>
  <si>
    <t>LILLIE MADELINE AMBRUS     MD</t>
  </si>
  <si>
    <t>Mark Aldrich</t>
  </si>
  <si>
    <t>(716) 631-0380</t>
  </si>
  <si>
    <t>marka@buffaloallergy.com</t>
  </si>
  <si>
    <t>LILLIE MADELINE DR.</t>
  </si>
  <si>
    <t>Madga Osman MD</t>
  </si>
  <si>
    <t>Magdi Sayegh MD</t>
  </si>
  <si>
    <t>Maithridevi Rasalingam MD</t>
  </si>
  <si>
    <t>Rosa Evan</t>
  </si>
  <si>
    <t>ridingpink725@hotmail.com</t>
  </si>
  <si>
    <t>Malti Patel MD</t>
  </si>
  <si>
    <t>Malvina Khozina MD</t>
  </si>
  <si>
    <t>E0040656</t>
  </si>
  <si>
    <t>KHOZINA MALVINA MD</t>
  </si>
  <si>
    <t>KHOZINA MALVINA</t>
  </si>
  <si>
    <t>HOSPITAL INTERNISTS</t>
  </si>
  <si>
    <t>Marc Fineberg MD</t>
  </si>
  <si>
    <t>msf5@buffalo.edu</t>
  </si>
  <si>
    <t>Marc Frost MD</t>
  </si>
  <si>
    <t>Marc K. Klementowski MD</t>
  </si>
  <si>
    <t>E0120502</t>
  </si>
  <si>
    <t>KLEMENTOWSKI MARC KENNETH MD</t>
  </si>
  <si>
    <t>KLEMENTOWSKI MARC DR.</t>
  </si>
  <si>
    <t>Marcus Romanowski MD</t>
  </si>
  <si>
    <t>Community Services for the Developmentally Disabled</t>
  </si>
  <si>
    <t>Mark Foley</t>
  </si>
  <si>
    <t>mfoley@csdd.net</t>
  </si>
  <si>
    <t>Paul Lapoint DO</t>
  </si>
  <si>
    <t>Paul Mason MD</t>
  </si>
  <si>
    <t>Paul Meade MD</t>
  </si>
  <si>
    <t>E0115767</t>
  </si>
  <si>
    <t>MEADE PAUL</t>
  </si>
  <si>
    <t>MEADE PAUL DR.</t>
  </si>
  <si>
    <t>Paul Nasca DPM</t>
  </si>
  <si>
    <t>PPCN101@aol.com</t>
  </si>
  <si>
    <t>Paul Pizzella MD</t>
  </si>
  <si>
    <t>E0036045</t>
  </si>
  <si>
    <t>PIZZELLA PAUL FREDRIC MD</t>
  </si>
  <si>
    <t>radimager99@aol.com</t>
  </si>
  <si>
    <t>PIZZELLA PAUL DR.</t>
  </si>
  <si>
    <t>Paul Updike MD</t>
  </si>
  <si>
    <t>E0111521</t>
  </si>
  <si>
    <t>UPDIKE PAUL FREDERICK MD</t>
  </si>
  <si>
    <t>UPDIKE PAUL</t>
  </si>
  <si>
    <t>Paul Young MD</t>
  </si>
  <si>
    <t>Tamila Kaczmarek</t>
  </si>
  <si>
    <t>(716) 832-8500</t>
  </si>
  <si>
    <t>G Jay Bishop</t>
  </si>
  <si>
    <t>Gabriel E. Chouchani MD</t>
  </si>
  <si>
    <t>Gabriel Yacob</t>
  </si>
  <si>
    <t>Gail Goodman MD</t>
  </si>
  <si>
    <t>Gale O'Connor MD</t>
  </si>
  <si>
    <t>Garden Gate Healthcare Facility</t>
  </si>
  <si>
    <t>Gary Carl</t>
  </si>
  <si>
    <t>Joseph G Rusnak MD</t>
  </si>
  <si>
    <t>E0175073</t>
  </si>
  <si>
    <t>RUSNAK JOSEPH G MD</t>
  </si>
  <si>
    <t>jrmarilla@yahoo.com</t>
  </si>
  <si>
    <t>RUSNAK JOSEPH DR.</t>
  </si>
  <si>
    <t>ABBOTT RADIOLOGY ASC</t>
  </si>
  <si>
    <t>Susan Murawski</t>
  </si>
  <si>
    <t>Amanda Walczak PA</t>
  </si>
  <si>
    <t>E0294865</t>
  </si>
  <si>
    <t>WALCZAK AMANDA LEE</t>
  </si>
  <si>
    <t>WALCZAK AMANDA</t>
  </si>
  <si>
    <t>Amber Nocek PA</t>
  </si>
  <si>
    <t>E0319487</t>
  </si>
  <si>
    <t>AMBER MICHELLE NOCEK</t>
  </si>
  <si>
    <t>NOCEK AMBER</t>
  </si>
  <si>
    <t>NOCEK AMBER MICHELLE RPA</t>
  </si>
  <si>
    <t>AMY BENNETT NP</t>
  </si>
  <si>
    <t>E0003489</t>
  </si>
  <si>
    <t>RUDNICKI AMY MARIE</t>
  </si>
  <si>
    <t>BENNETT AMY MS.</t>
  </si>
  <si>
    <t>BENNETT AMY MARIE</t>
  </si>
  <si>
    <t>Amy Corcoran PA</t>
  </si>
  <si>
    <t>AMY L. GLOVER NP</t>
  </si>
  <si>
    <t>E0425783</t>
  </si>
  <si>
    <t>GLOVER AMY LYN</t>
  </si>
  <si>
    <t>GLOVER AMY MS.</t>
  </si>
  <si>
    <t>300 CENTER RD</t>
  </si>
  <si>
    <t>Amy Pohlman PA</t>
  </si>
  <si>
    <t>E0035007</t>
  </si>
  <si>
    <t>POHLMAN AMY R RPA</t>
  </si>
  <si>
    <t>POHLMAN AMY MS.</t>
  </si>
  <si>
    <t>POHLMAN AMY R</t>
  </si>
  <si>
    <t>Amy Southard NP</t>
  </si>
  <si>
    <t>Andrea Bauer NP</t>
  </si>
  <si>
    <t>E0047845</t>
  </si>
  <si>
    <t>BAUER ANDREA M</t>
  </si>
  <si>
    <t>BAUER ANDREA</t>
  </si>
  <si>
    <t>BAUER ANDREA MARIE</t>
  </si>
  <si>
    <t>STE 225</t>
  </si>
  <si>
    <t>andrea klimtzak pa</t>
  </si>
  <si>
    <t>E0030218</t>
  </si>
  <si>
    <t>FISHER ANDREA L RPA</t>
  </si>
  <si>
    <t>KLIMTZAK ANDREA</t>
  </si>
  <si>
    <t>KLIMTZAK ANDREA LYNN  RPA</t>
  </si>
  <si>
    <t>112 OLEAN ST</t>
  </si>
  <si>
    <t>Andrea Phipps PA</t>
  </si>
  <si>
    <t>Andrea Sturniolo PA</t>
  </si>
  <si>
    <t>Michael Hanzly DO</t>
  </si>
  <si>
    <t>E0353462</t>
  </si>
  <si>
    <t>HANZLY MICHAEL IGNATIUS</t>
  </si>
  <si>
    <t>HANZLY MICHAEL</t>
  </si>
  <si>
    <t>Thomas Laudico DO</t>
  </si>
  <si>
    <t>E0293754</t>
  </si>
  <si>
    <t>LAUDICO THOMAS JOSEPH DO</t>
  </si>
  <si>
    <t>LAUDICO THOMAS</t>
  </si>
  <si>
    <t>Renee Mapes DO</t>
  </si>
  <si>
    <t>E0310481</t>
  </si>
  <si>
    <t>MAPES RENEE M</t>
  </si>
  <si>
    <t>MAPES RENEE</t>
  </si>
  <si>
    <t>Janine Milligan DO</t>
  </si>
  <si>
    <t>E0320692</t>
  </si>
  <si>
    <t>MILLIGAN JANINE MARIE</t>
  </si>
  <si>
    <t>MILLIGAN JANINE</t>
  </si>
  <si>
    <t>Catherine Mack FNP</t>
  </si>
  <si>
    <t>E0062491</t>
  </si>
  <si>
    <t>MACK CATHERINE S</t>
  </si>
  <si>
    <t>MACK CATHERINE</t>
  </si>
  <si>
    <t>Ahmed Nabil Abdelhalim MD</t>
  </si>
  <si>
    <t>Imran Ahmad MD</t>
  </si>
  <si>
    <t>E0354649</t>
  </si>
  <si>
    <t>AHMAD IMRAN</t>
  </si>
  <si>
    <t>Stacey Akers MD</t>
  </si>
  <si>
    <t>Abdul Hamid Alraiyes MD</t>
  </si>
  <si>
    <t>E0386106</t>
  </si>
  <si>
    <t>ALRAIYES ABDUL HAMID</t>
  </si>
  <si>
    <t>Ronald Alberico MD</t>
  </si>
  <si>
    <t>Nikolaos Almyroudis MD</t>
  </si>
  <si>
    <t>Julie Alosi MD</t>
  </si>
  <si>
    <t>E0320558</t>
  </si>
  <si>
    <t>ALOSI JULIE ANN MD</t>
  </si>
  <si>
    <t>ALOSI JULIE</t>
  </si>
  <si>
    <t>123 SUMMER ST STE 210</t>
  </si>
  <si>
    <t>Amy Alvarez Perez MD</t>
  </si>
  <si>
    <t>E0183956</t>
  </si>
  <si>
    <t>ALVAREZ PEREZ AMY I MD</t>
  </si>
  <si>
    <t>ALVAREZ-PEREZ AMY</t>
  </si>
  <si>
    <t>Debra Arndt NMW</t>
  </si>
  <si>
    <t>E0305360</t>
  </si>
  <si>
    <t>ARNDT DEBRA L</t>
  </si>
  <si>
    <t>ARNDT DEBRA MRS.</t>
  </si>
  <si>
    <t>Katie Stanton Ireland NP</t>
  </si>
  <si>
    <t>E0376924</t>
  </si>
  <si>
    <t>IRELAND KATIE ROSELYN</t>
  </si>
  <si>
    <t>IRELAND KATIE</t>
  </si>
  <si>
    <t>Kelly Brooke</t>
  </si>
  <si>
    <t>E0106698</t>
  </si>
  <si>
    <t>KELLY BROOKE K DO</t>
  </si>
  <si>
    <t>KELLY BROOKE</t>
  </si>
  <si>
    <t>Robert Scott</t>
  </si>
  <si>
    <t>E0241819</t>
  </si>
  <si>
    <t>SCOTT ROBERT WILLARD MD</t>
  </si>
  <si>
    <t>SCOTT ROBERT</t>
  </si>
  <si>
    <t>SCOTT ROBERT WILLARD</t>
  </si>
  <si>
    <t>Denise Semasko</t>
  </si>
  <si>
    <t>E0181230</t>
  </si>
  <si>
    <t>SEMASHKO DENISE CAROL MD</t>
  </si>
  <si>
    <t>SEMASHKO DENISE DR.</t>
  </si>
  <si>
    <t>SEMASHKO DENISE CAROL</t>
  </si>
  <si>
    <t>Gil Marzinek</t>
  </si>
  <si>
    <t>E0207396</t>
  </si>
  <si>
    <t>MARZINEK GIL ZDZISLAW MD</t>
  </si>
  <si>
    <t>MARZINEK GIL</t>
  </si>
  <si>
    <t>MARZINEK GIL Z MD</t>
  </si>
  <si>
    <t>Satish Mongia MD</t>
  </si>
  <si>
    <t>E0236581</t>
  </si>
  <si>
    <t>MONGIA SATISH K PC         MD</t>
  </si>
  <si>
    <t>(716) 487-1161</t>
  </si>
  <si>
    <t>MONGIA SATISH</t>
  </si>
  <si>
    <t>2223 W STATE ST</t>
  </si>
  <si>
    <t>Shrikant Bodani MD</t>
  </si>
  <si>
    <t>E0222030</t>
  </si>
  <si>
    <t>BODANI SHRIKANT C  MD</t>
  </si>
  <si>
    <t>(716) 483-2161</t>
  </si>
  <si>
    <t>BODANI SHRIKANT DR.</t>
  </si>
  <si>
    <t>30 ARNOLD ST</t>
  </si>
  <si>
    <t>Jarius Ibabao MD</t>
  </si>
  <si>
    <t>E0117006</t>
  </si>
  <si>
    <t>IBABAO JAIRUS T MD</t>
  </si>
  <si>
    <t>(716) 664-1909</t>
  </si>
  <si>
    <t>IBABAO JAIRUS DR.</t>
  </si>
  <si>
    <t>IBABAO JAIRUS TESORERO</t>
  </si>
  <si>
    <t>Douglas Larson DDS</t>
  </si>
  <si>
    <t>(716) 483-1718</t>
  </si>
  <si>
    <t>Timothy Grace OD</t>
  </si>
  <si>
    <t>E0128969</t>
  </si>
  <si>
    <t>GRACE TIMOTHY J</t>
  </si>
  <si>
    <t>(716) 488-1147</t>
  </si>
  <si>
    <t>GRACE TIMOTHY</t>
  </si>
  <si>
    <t>548 W 3RD ST</t>
  </si>
  <si>
    <t>Mark Tuccio DPM</t>
  </si>
  <si>
    <t>E0165491</t>
  </si>
  <si>
    <t>TUCCIO MARK J DPM</t>
  </si>
  <si>
    <t>(716) 483-2200</t>
  </si>
  <si>
    <t>TUCCIO MARK</t>
  </si>
  <si>
    <t>844 FAIRMONT AVE</t>
  </si>
  <si>
    <t>Amanpal Singh MD</t>
  </si>
  <si>
    <t>E0348282</t>
  </si>
  <si>
    <t>SINGH AMANPAL</t>
  </si>
  <si>
    <t>Smit Singla MD</t>
  </si>
  <si>
    <t>E0347553</t>
  </si>
  <si>
    <t>SINGLA SMIT</t>
  </si>
  <si>
    <t>Gerard Silva MD</t>
  </si>
  <si>
    <t>E0012421</t>
  </si>
  <si>
    <t>SILVA GERARD MD</t>
  </si>
  <si>
    <t>SILVA GERARD</t>
  </si>
  <si>
    <t>Joseph Skitzki MD</t>
  </si>
  <si>
    <t>E0024163</t>
  </si>
  <si>
    <t>SKITZKI JOSEPH J MD</t>
  </si>
  <si>
    <t>SKITZKI JOSEPH</t>
  </si>
  <si>
    <t>Roger Smith MD</t>
  </si>
  <si>
    <t>E0123770</t>
  </si>
  <si>
    <t>SMITH ROGER M MD</t>
  </si>
  <si>
    <t>SMITH ROGER</t>
  </si>
  <si>
    <t>Edward Spangenthal MD</t>
  </si>
  <si>
    <t>Raymond Sroka MD</t>
  </si>
  <si>
    <t>E0348494</t>
  </si>
  <si>
    <t>SROKA RAYMOND DAVID</t>
  </si>
  <si>
    <t>SROKA RAYMOND</t>
  </si>
  <si>
    <t>Petr Starostik MD</t>
  </si>
  <si>
    <t>E0068731</t>
  </si>
  <si>
    <t>STAROSTIK PETR MD</t>
  </si>
  <si>
    <t>STAROSTIK PETR</t>
  </si>
  <si>
    <t>Norbert Sule MD</t>
  </si>
  <si>
    <t>E0313470</t>
  </si>
  <si>
    <t>NORBERT SULE</t>
  </si>
  <si>
    <t>SULE NORBERT</t>
  </si>
  <si>
    <t>Carin Tauriello MD</t>
  </si>
  <si>
    <t>E0339492</t>
  </si>
  <si>
    <t>TAURIELLO CARIN MARIE</t>
  </si>
  <si>
    <t>TAURIELLO CARIN</t>
  </si>
  <si>
    <t>Pragatheeshwar Thirunavukarasu MD</t>
  </si>
  <si>
    <t>E0352702</t>
  </si>
  <si>
    <t>THIRUNAVUKARASU PRAGATHEES</t>
  </si>
  <si>
    <t>THIRUNAVUKARASU PRAGATHEESHWAR DR.</t>
  </si>
  <si>
    <t>THIRUNAVUKARASU PRAGATHEESHWAR</t>
  </si>
  <si>
    <t>James Thompson MD</t>
  </si>
  <si>
    <t>E0286983</t>
  </si>
  <si>
    <t>THOMPSON JAMES EDWIN MD</t>
  </si>
  <si>
    <t>THOMPSON JAMES</t>
  </si>
  <si>
    <t>Robert Tick MD</t>
  </si>
  <si>
    <t>E0079881</t>
  </si>
  <si>
    <t>TICK ROBERT CARL MD</t>
  </si>
  <si>
    <t>TICK ROBERT</t>
  </si>
  <si>
    <t>RPCI CLIN PRACT PLA</t>
  </si>
  <si>
    <t>Garin Tomaszewski MD</t>
  </si>
  <si>
    <t>Paul Tomljanovich MD</t>
  </si>
  <si>
    <t>E0219939</t>
  </si>
  <si>
    <t>TOMLJANOVICH PAUL I        MD</t>
  </si>
  <si>
    <t>TOMLJANOVICH PAUL</t>
  </si>
  <si>
    <t>127 W 79TH ST</t>
  </si>
  <si>
    <t>Donald Trump MD</t>
  </si>
  <si>
    <t>E0076232</t>
  </si>
  <si>
    <t>TRUMP DONALD MD</t>
  </si>
  <si>
    <t>TRUMP DONALD</t>
  </si>
  <si>
    <t>Alexander Truskinovsky MD</t>
  </si>
  <si>
    <t>E0372669</t>
  </si>
  <si>
    <t>TRUSKINOVSKY ALEXANDER MOSES</t>
  </si>
  <si>
    <t>TRUSKINOVSKY ALEXANDER</t>
  </si>
  <si>
    <t>Rebecca Tuttle MD</t>
  </si>
  <si>
    <t>E0347360</t>
  </si>
  <si>
    <t>TUTTLE REBECCA MAE</t>
  </si>
  <si>
    <t>TUTTLE REBECCA</t>
  </si>
  <si>
    <t>Margaret McDonnell MD</t>
  </si>
  <si>
    <t>E0190487</t>
  </si>
  <si>
    <t>MCDONNELL MARGARET PHILOMENA</t>
  </si>
  <si>
    <t>(716) 862-1500</t>
  </si>
  <si>
    <t>Davidallanalex@aol.com</t>
  </si>
  <si>
    <t>MCDONNELL MARGARET</t>
  </si>
  <si>
    <t>Margaret Novotony MD</t>
  </si>
  <si>
    <t>kbmman@hotmail.com</t>
  </si>
  <si>
    <t>Maria DelCastillo MD</t>
  </si>
  <si>
    <t>Maria Jereva-Simeonova MD</t>
  </si>
  <si>
    <t>E0092055</t>
  </si>
  <si>
    <t>JEREVA-SIMEONOVA MARIA S MD</t>
  </si>
  <si>
    <t>JEREVASIMEONOVA MARIA</t>
  </si>
  <si>
    <t>Maria Matala-Sullivan MD</t>
  </si>
  <si>
    <t>E0112563</t>
  </si>
  <si>
    <t>MATALA-SULLIVAN MARIA E DO</t>
  </si>
  <si>
    <t>MATALA-SULLIVAN MARIA DR.</t>
  </si>
  <si>
    <t>Maria Rita Andaya MD</t>
  </si>
  <si>
    <t>E0108154</t>
  </si>
  <si>
    <t>ANDAYA MARIA R P MD</t>
  </si>
  <si>
    <t>(716) 821-0170</t>
  </si>
  <si>
    <t>mayetzky2002@yahoo.com</t>
  </si>
  <si>
    <t>ANDAYA MARIA RITA</t>
  </si>
  <si>
    <t>ANDAYA MARIA RITA PADILLA</t>
  </si>
  <si>
    <t>Marie Diaz</t>
  </si>
  <si>
    <t>E0001640</t>
  </si>
  <si>
    <t>DIAZ MARIA ISABEL</t>
  </si>
  <si>
    <t>DIAZ MARIA DR.</t>
  </si>
  <si>
    <t>DIAZ MARIA ISABEL MD</t>
  </si>
  <si>
    <t>Deborah Finamore NP</t>
  </si>
  <si>
    <t>E0063635</t>
  </si>
  <si>
    <t>FINAMORE DEBORAH POPE</t>
  </si>
  <si>
    <t>FINAMORE DEBORAH MRS.</t>
  </si>
  <si>
    <t>2625 HARLEM RD STE 210</t>
  </si>
  <si>
    <t>Deborah Hamlin NP</t>
  </si>
  <si>
    <t>Deborah Iafallo NP</t>
  </si>
  <si>
    <t>E0036212</t>
  </si>
  <si>
    <t>IAFALLO DEBORAH L</t>
  </si>
  <si>
    <t>IAFALLO DEBORAH</t>
  </si>
  <si>
    <t>IAFALLO DEBORAH LYNN</t>
  </si>
  <si>
    <t>S-4650 SOUTHWESTERN BLVD</t>
  </si>
  <si>
    <t>Deborah Jacobi-Rodriguez NP</t>
  </si>
  <si>
    <t>E0119606</t>
  </si>
  <si>
    <t>JACOBI-RODRIGUEZ DEBORAH ANN</t>
  </si>
  <si>
    <t>JACOBI DEBORAH MS.</t>
  </si>
  <si>
    <t>JACOBI DEBORAH A</t>
  </si>
  <si>
    <t>Deborah Sleeper PA</t>
  </si>
  <si>
    <t>E0388885</t>
  </si>
  <si>
    <t>SLEEPER DEBORAH ANN</t>
  </si>
  <si>
    <t>SLEEPER DEBORAH MRS.</t>
  </si>
  <si>
    <t>Debra Blair PA</t>
  </si>
  <si>
    <t>E0049599</t>
  </si>
  <si>
    <t>BLAIR DEBRA J</t>
  </si>
  <si>
    <t>BLAIR DEBRA MRS.</t>
  </si>
  <si>
    <t>DENNIS MCGOLDRICK PA</t>
  </si>
  <si>
    <t>E0172236</t>
  </si>
  <si>
    <t>MCGOLDRICK DENNIS M</t>
  </si>
  <si>
    <t>MCGOLDRICK DENNIS MR.</t>
  </si>
  <si>
    <t>Diane Stonemetz NP</t>
  </si>
  <si>
    <t>E0065716</t>
  </si>
  <si>
    <t>STONEMETZ DIANE</t>
  </si>
  <si>
    <t>STONEMETZ DIANE MRS.</t>
  </si>
  <si>
    <t>Donna Gannon NP</t>
  </si>
  <si>
    <t>E0330311</t>
  </si>
  <si>
    <t>GANNON DONNA M</t>
  </si>
  <si>
    <t>GANNON DONNA MRS.</t>
  </si>
  <si>
    <t>220 RED TAIL STE 2</t>
  </si>
  <si>
    <t>DONNA VOGT NP</t>
  </si>
  <si>
    <t>E0109718</t>
  </si>
  <si>
    <t>VOGT DONNA MARIE</t>
  </si>
  <si>
    <t>VOGT DONNA MS.</t>
  </si>
  <si>
    <t>61 MAPLE RD</t>
  </si>
  <si>
    <t>Edward Vargo PA</t>
  </si>
  <si>
    <t>Eileen Donahue NP</t>
  </si>
  <si>
    <t>E0114305</t>
  </si>
  <si>
    <t>DONAHUE EILEEN F</t>
  </si>
  <si>
    <t>DONAHUE EILEEN MRS.</t>
  </si>
  <si>
    <t>Elaine Pazik NP</t>
  </si>
  <si>
    <t>E0102713</t>
  </si>
  <si>
    <t>PAZIK ELAINE MARIE</t>
  </si>
  <si>
    <t>PAZIK ELAINE</t>
  </si>
  <si>
    <t>Elena Walker NP</t>
  </si>
  <si>
    <t>E0103437</t>
  </si>
  <si>
    <t>WALKER ELENA KOUTSOUMPAS</t>
  </si>
  <si>
    <t>WALKER ELENA</t>
  </si>
  <si>
    <t>Elise Cruce PA</t>
  </si>
  <si>
    <t>GILL ELISE</t>
  </si>
  <si>
    <t>Elizabeth Hanretty PA-C</t>
  </si>
  <si>
    <t>E0316328</t>
  </si>
  <si>
    <t>ELIZABETH A HANRETTY</t>
  </si>
  <si>
    <t>HANRETTY ELIZABETH</t>
  </si>
  <si>
    <t>HANRETTY ELIZABETH ANN</t>
  </si>
  <si>
    <t>Elizabeth Schmand NP</t>
  </si>
  <si>
    <t>E0057065</t>
  </si>
  <si>
    <t>SCHMAND ELIZABETH A</t>
  </si>
  <si>
    <t>SCHMAND ELIZABETH MRS.</t>
  </si>
  <si>
    <t>Elizabeth Smith NP</t>
  </si>
  <si>
    <t>E0065557</t>
  </si>
  <si>
    <t>SMITH ELIZABETH D NP</t>
  </si>
  <si>
    <t>SMITH ELIZABETH</t>
  </si>
  <si>
    <t>Emily Grisante PA</t>
  </si>
  <si>
    <t>Emily Levandusky PA</t>
  </si>
  <si>
    <t>E0065783</t>
  </si>
  <si>
    <t>LEVANDUSKY EMILY A</t>
  </si>
  <si>
    <t>LEVANDUSKY EMILY</t>
  </si>
  <si>
    <t>Eric Dibben PA</t>
  </si>
  <si>
    <t>E0370579</t>
  </si>
  <si>
    <t>DIBBEN ERIC</t>
  </si>
  <si>
    <t>7060 ERIE RD STE 100</t>
  </si>
  <si>
    <t>Gary Eggleston</t>
  </si>
  <si>
    <t>Gary Nelson DO</t>
  </si>
  <si>
    <t>Gary Wang MD</t>
  </si>
  <si>
    <t>E0088093</t>
  </si>
  <si>
    <t>WANG GARY MD</t>
  </si>
  <si>
    <t>Roxane Gima</t>
  </si>
  <si>
    <t>(716) 832-1000</t>
  </si>
  <si>
    <t>roxane@garywangmd.com</t>
  </si>
  <si>
    <t>WANG GARY</t>
  </si>
  <si>
    <t>Gateway-Longview, Inc.</t>
  </si>
  <si>
    <t>Al Dirschberger PhD</t>
  </si>
  <si>
    <t>(716) 783-3314</t>
  </si>
  <si>
    <t>adirschberger@gateway-longview.org</t>
  </si>
  <si>
    <t>Geemson Oo MD</t>
  </si>
  <si>
    <t>Wendy Zatlukal</t>
  </si>
  <si>
    <t>wzatlukal@accessiumbc.com</t>
  </si>
  <si>
    <t>Geoffrey A. Bernas MD</t>
  </si>
  <si>
    <t>George Blessios MD</t>
  </si>
  <si>
    <t>Diane Nowak</t>
  </si>
  <si>
    <t>(716) 822-2400</t>
  </si>
  <si>
    <t>dnowak@surgcpllc.com</t>
  </si>
  <si>
    <t>George Haddad MD</t>
  </si>
  <si>
    <t>Silvana Haddad</t>
  </si>
  <si>
    <t>gahaddad5@aim.com</t>
  </si>
  <si>
    <t>George Kalonaros MD</t>
  </si>
  <si>
    <t>E0187600</t>
  </si>
  <si>
    <t>KALONAROS GEORGE CONSTANTINE</t>
  </si>
  <si>
    <t>(716) 447-7260</t>
  </si>
  <si>
    <t>gkalonaros@aol.com</t>
  </si>
  <si>
    <t>KALONAROS GEORGE DR.</t>
  </si>
  <si>
    <t>George Marinides MD</t>
  </si>
  <si>
    <t>George Vasiliadis DPM</t>
  </si>
  <si>
    <t>E0180332</t>
  </si>
  <si>
    <t>VASILIADIS GEORGE C DPM</t>
  </si>
  <si>
    <t>(716) 693-1050</t>
  </si>
  <si>
    <t>drvasiliadis@yahoo.com</t>
  </si>
  <si>
    <t>VASILIADIS GEORGE DR.</t>
  </si>
  <si>
    <t>190 MAIN ST</t>
  </si>
  <si>
    <t>Gerald J Joyce MD</t>
  </si>
  <si>
    <t>E0180127</t>
  </si>
  <si>
    <t>JOYCE GERALD MD</t>
  </si>
  <si>
    <t>DAGG7@aol.com</t>
  </si>
  <si>
    <t>JOYCE GERALD DR.</t>
  </si>
  <si>
    <t>Gerald Jeyapalan MD</t>
  </si>
  <si>
    <t>Quratul Raja</t>
  </si>
  <si>
    <t>Ashwina Sheth MD</t>
  </si>
  <si>
    <t>E0192803</t>
  </si>
  <si>
    <t>SHETH ASHWINA GAURANG MD</t>
  </si>
  <si>
    <t>sheth1999@yahoo.com</t>
  </si>
  <si>
    <t>SHETH ASHWINA</t>
  </si>
  <si>
    <t>Asmahan Korach</t>
  </si>
  <si>
    <t>E0103442</t>
  </si>
  <si>
    <t>KORACH A SINIA</t>
  </si>
  <si>
    <t>KORACH A.</t>
  </si>
  <si>
    <t>KORACH A SHINIA</t>
  </si>
  <si>
    <t>Aspire Of Western New York Inc</t>
  </si>
  <si>
    <t>Tom Sy/ Honor Martin (honor.martin@aspirewny.org)</t>
  </si>
  <si>
    <t>(716) 838-0047</t>
  </si>
  <si>
    <t>tasy@aspirewny.org</t>
  </si>
  <si>
    <t>E0195230</t>
  </si>
  <si>
    <t>UCP WESTERN NY DAY TRT ROSSLE</t>
  </si>
  <si>
    <t>E0099916</t>
  </si>
  <si>
    <t>CAH ASPIRE OF WNY INC</t>
  </si>
  <si>
    <t>2495 MAIN ST # S347</t>
  </si>
  <si>
    <t>E0162015</t>
  </si>
  <si>
    <t>UCP WESTERN NY THE COMMON ICF</t>
  </si>
  <si>
    <t>ASPIRE OF WESTERN NEW YORK, INC</t>
  </si>
  <si>
    <t>THE COMMON ICF</t>
  </si>
  <si>
    <t>Cele Cacho NP</t>
  </si>
  <si>
    <t>Celestine Szulewski PA</t>
  </si>
  <si>
    <t>E0103109</t>
  </si>
  <si>
    <t>SZULEWSKI CELESTINE</t>
  </si>
  <si>
    <t xml:space="preserve">Charles  Burns FNP </t>
  </si>
  <si>
    <t>E0087345</t>
  </si>
  <si>
    <t>BURNS CHARLES WALTER</t>
  </si>
  <si>
    <t>BURNS CHARLES</t>
  </si>
  <si>
    <t>Cheri Gorski-Suhr PA</t>
  </si>
  <si>
    <t>E0128145</t>
  </si>
  <si>
    <t>GORSKI-SUHR CHERI A</t>
  </si>
  <si>
    <t>GORSKI-SUHR CHERI</t>
  </si>
  <si>
    <t>GORSKI-SUHR CHERI A RPA</t>
  </si>
  <si>
    <t>Christie Koedel NP</t>
  </si>
  <si>
    <t>E0047165</t>
  </si>
  <si>
    <t>KOEDEL CHRISTIE L</t>
  </si>
  <si>
    <t>KOEDEL CHRISTIE MRS.</t>
  </si>
  <si>
    <t>Christina Campolo PA</t>
  </si>
  <si>
    <t>E0284502</t>
  </si>
  <si>
    <t>MANGOVSKI CHRISTINA MARY RPA</t>
  </si>
  <si>
    <t>CAMPOLO CHRISTINA MRS.</t>
  </si>
  <si>
    <t>CAMPOLO CHRISTINA MARY RPA</t>
  </si>
  <si>
    <t>55 SPINDRIFT DR STE 240</t>
  </si>
  <si>
    <t>Christina Hayek NP</t>
  </si>
  <si>
    <t>E0407311</t>
  </si>
  <si>
    <t>HAYEK CHRISTINA MARIE</t>
  </si>
  <si>
    <t>HAYEK CHRISTINA</t>
  </si>
  <si>
    <t>Sergio Anillo MD</t>
  </si>
  <si>
    <t>Pradeep Arora MD</t>
  </si>
  <si>
    <t>E0043764</t>
  </si>
  <si>
    <t>ARORA PRADEEP</t>
  </si>
  <si>
    <t>Hassan Arshad MD</t>
  </si>
  <si>
    <t>E0325537</t>
  </si>
  <si>
    <t>ARSHAD HASSAN</t>
  </si>
  <si>
    <t>ARSHAD HASSAN DR.</t>
  </si>
  <si>
    <t>Gissou Azabdaftari MD</t>
  </si>
  <si>
    <t>E0307177</t>
  </si>
  <si>
    <t>GISSOU AZABDAFTARI</t>
  </si>
  <si>
    <t>AZABDAFTARI GISSOU</t>
  </si>
  <si>
    <t>James Baer MD</t>
  </si>
  <si>
    <t>E0383537</t>
  </si>
  <si>
    <t>BAER JAMES ROBERT</t>
  </si>
  <si>
    <t>BAER JAMES</t>
  </si>
  <si>
    <t>Andrew Bain MD</t>
  </si>
  <si>
    <t>E0319744</t>
  </si>
  <si>
    <t>BAIN ANDREW JOSEPH</t>
  </si>
  <si>
    <t>BAIN ANDREW</t>
  </si>
  <si>
    <t>Sophia Balderman MD</t>
  </si>
  <si>
    <t>Barbara Bambach MD</t>
  </si>
  <si>
    <t>Lynda Beaupin MD</t>
  </si>
  <si>
    <t>Joanne Becker MD</t>
  </si>
  <si>
    <t>E0097913</t>
  </si>
  <si>
    <t>BECKER JOANNE MD</t>
  </si>
  <si>
    <t>BECKER JOANNE</t>
  </si>
  <si>
    <t>RPCI-CLINICAL PRAC</t>
  </si>
  <si>
    <t>Suzette LaJeunesse MD</t>
  </si>
  <si>
    <t>suzettelajeunesse@verizon.net</t>
  </si>
  <si>
    <t>Syed Bukhari MD</t>
  </si>
  <si>
    <t>E0082866</t>
  </si>
  <si>
    <t>BUKHARI SYED MAJID ALI S.MD</t>
  </si>
  <si>
    <t>BUKHARI SYED</t>
  </si>
  <si>
    <t>Syed Haq MD</t>
  </si>
  <si>
    <t>Margie Syed</t>
  </si>
  <si>
    <t>margaretsyed@gmail.com</t>
  </si>
  <si>
    <t>Syed Jaffri MD</t>
  </si>
  <si>
    <t>Syed S. Husain MD</t>
  </si>
  <si>
    <t>E0121099</t>
  </si>
  <si>
    <t>HUSAIN SYED SAJID MD</t>
  </si>
  <si>
    <t>Mary Patricia Whistler NP</t>
  </si>
  <si>
    <t>E0065600</t>
  </si>
  <si>
    <t>WHISTLER MARY P NP</t>
  </si>
  <si>
    <t>WHISTLER MARY</t>
  </si>
  <si>
    <t>WHISTLER-ANDREWS MARY PATRICIA</t>
  </si>
  <si>
    <t>Mary T Sheppard NP</t>
  </si>
  <si>
    <t>Matthew Mazurczak PA</t>
  </si>
  <si>
    <t>Maureen Westgarth NP</t>
  </si>
  <si>
    <t>E0336769</t>
  </si>
  <si>
    <t>WESTGARTH MAUREEN L</t>
  </si>
  <si>
    <t>WESTGARTH MAUREEN MRS.</t>
  </si>
  <si>
    <t>4515 MILITARY RD</t>
  </si>
  <si>
    <t>Megan Burke NP</t>
  </si>
  <si>
    <t>Megan Kuechle PA-C</t>
  </si>
  <si>
    <t>E0387001</t>
  </si>
  <si>
    <t>KUECHLE MEGAN C</t>
  </si>
  <si>
    <t>KUECHLE MEGAN</t>
  </si>
  <si>
    <t>180 PARK CLUB LN STE 250</t>
  </si>
  <si>
    <t>Meggan Shea NP</t>
  </si>
  <si>
    <t>E0344022</t>
  </si>
  <si>
    <t>SHEA MEGGAN KATHLEEN</t>
  </si>
  <si>
    <t>SHEA MEGGAN</t>
  </si>
  <si>
    <t>Meghan McNichol PA</t>
  </si>
  <si>
    <t>E0390758</t>
  </si>
  <si>
    <t>MCNICHOL MEGHAN</t>
  </si>
  <si>
    <t>MCNICHOL MEGHAN E</t>
  </si>
  <si>
    <t>5959 BIG TREE RD</t>
  </si>
  <si>
    <t>Melanie Noon PA</t>
  </si>
  <si>
    <t>Melissa Aduddle PA</t>
  </si>
  <si>
    <t>ADUDDLE MELISSA MISS</t>
  </si>
  <si>
    <t>Michael Asbach PA</t>
  </si>
  <si>
    <t>E0336742</t>
  </si>
  <si>
    <t>ASBACH MICHAEL THOMAS</t>
  </si>
  <si>
    <t>ASBACH MICHAEL</t>
  </si>
  <si>
    <t>Northwest Community Health Center</t>
  </si>
  <si>
    <t>Ann Cavit EC</t>
  </si>
  <si>
    <t>Compeer Inc.</t>
  </si>
  <si>
    <t xml:space="preserve">1600 South Avenue </t>
  </si>
  <si>
    <t>Community Action Organization of Erie County/DART Program</t>
  </si>
  <si>
    <t>E0252044</t>
  </si>
  <si>
    <t>COMMUNITY ACTION ORG ERIE CTY</t>
  </si>
  <si>
    <t>Kenneth Bossert</t>
  </si>
  <si>
    <t>kbossert@caoec.org</t>
  </si>
  <si>
    <t>COMMUNITY ACTION ORGANIZATION OF ERIE COUNTY, INC.</t>
  </si>
  <si>
    <t>1237 MAIN ST</t>
  </si>
  <si>
    <t>Margaret Stutzman Addiction Treatment Center</t>
  </si>
  <si>
    <t>E0157635</t>
  </si>
  <si>
    <t>MARGARET A STUTZMAN A T C</t>
  </si>
  <si>
    <t>Susan S. Lisker</t>
  </si>
  <si>
    <t>M A STUTZMAN ADDICTION TREATMENT CENTER</t>
  </si>
  <si>
    <t>BUFFALO ATC</t>
  </si>
  <si>
    <t>The Mental Health Association in Niagara County, Inc.</t>
  </si>
  <si>
    <t>Cheryl Blacklock</t>
  </si>
  <si>
    <t>(716) 433-3780</t>
  </si>
  <si>
    <t>cablacklock@mhanc.com</t>
  </si>
  <si>
    <t>36 Pine Street</t>
  </si>
  <si>
    <t>mhelman@ldaofwny.org</t>
  </si>
  <si>
    <t>Kenmore</t>
  </si>
  <si>
    <t>jglover@TLFCCS.com</t>
  </si>
  <si>
    <t>Independent Living</t>
  </si>
  <si>
    <t>Native American Community Services of Erie and Niagara Counties, Inc.</t>
  </si>
  <si>
    <t>Norine D. Borkowski</t>
  </si>
  <si>
    <t>WNY United Against Drug &amp; Alcohol Abuse, Inc.</t>
  </si>
  <si>
    <t>Linda S. Flowers</t>
  </si>
  <si>
    <t>(716) 821-7722</t>
  </si>
  <si>
    <t>lflowers@wnyunited.org</t>
  </si>
  <si>
    <t>1195 Niagara Street</t>
  </si>
  <si>
    <t>Hospice Chautauqua County, Inc.</t>
  </si>
  <si>
    <t>Ronald Sellers</t>
  </si>
  <si>
    <t>rsellers@hospicechautco.org</t>
  </si>
  <si>
    <t>Org Hospice</t>
  </si>
  <si>
    <t>Northwest Community Mental Health Center</t>
  </si>
  <si>
    <t>Algera, Kariann, LCSW-R</t>
  </si>
  <si>
    <t>E0007565</t>
  </si>
  <si>
    <t>ALGERA KARIANN</t>
  </si>
  <si>
    <t>PO BOX 657</t>
  </si>
  <si>
    <t>Antonelli, Maryann, LCSW-R</t>
  </si>
  <si>
    <t>ANTONELLI MARYANN MRS.</t>
  </si>
  <si>
    <t>Bossard, Julie, M.S.</t>
  </si>
  <si>
    <t>BOSSARD JULIE MISS</t>
  </si>
  <si>
    <t>Boyle, (Tilli) Alicia, L.M.S.W.</t>
  </si>
  <si>
    <t>TILLI ALICIA</t>
  </si>
  <si>
    <t>Buscaglia, Annelisa, B.A.</t>
  </si>
  <si>
    <t>BUSCAGLIA ANNELISA</t>
  </si>
  <si>
    <t>Chappell, Baron, B.A.</t>
  </si>
  <si>
    <t>CHAPPELL BARON MR.</t>
  </si>
  <si>
    <t>Erika Stewart NP</t>
  </si>
  <si>
    <t>E0384013</t>
  </si>
  <si>
    <t>SURGXL CARDIOTHORACIC PC</t>
  </si>
  <si>
    <t>22 CAZENOVIA ST</t>
  </si>
  <si>
    <t>ERIN AMBORSKI PA</t>
  </si>
  <si>
    <t>E0307290</t>
  </si>
  <si>
    <t>AMBORSKI ERIN</t>
  </si>
  <si>
    <t>AMBORSKI ERIN MRS.</t>
  </si>
  <si>
    <t>3725 BUFFALO ROAD</t>
  </si>
  <si>
    <t>Gary Wysocki PA</t>
  </si>
  <si>
    <t>E0065387</t>
  </si>
  <si>
    <t>WYSOCKI GARY C</t>
  </si>
  <si>
    <t>WYSOCKI GARY MR.</t>
  </si>
  <si>
    <t>Gillian Grobe PA</t>
  </si>
  <si>
    <t>E0394251</t>
  </si>
  <si>
    <t>GROBE GILLIAN P</t>
  </si>
  <si>
    <t>GROBE GILLIAN</t>
  </si>
  <si>
    <t>GROBE GILLIAN PAIGE</t>
  </si>
  <si>
    <t>Giovanna Plouffe NP</t>
  </si>
  <si>
    <t>E0321649</t>
  </si>
  <si>
    <t>PLOUFFE GIOVANNA</t>
  </si>
  <si>
    <t>PLOUFFE GIOVANNA MRS.</t>
  </si>
  <si>
    <t>5320 MILITARY RD STE 105</t>
  </si>
  <si>
    <t>Glenn Buczkowski PA</t>
  </si>
  <si>
    <t>Gregory Czajka PA</t>
  </si>
  <si>
    <t>Gregory Groth PA</t>
  </si>
  <si>
    <t>E0057168</t>
  </si>
  <si>
    <t>GROTH GREGORY D</t>
  </si>
  <si>
    <t>GROTH GREGORY</t>
  </si>
  <si>
    <t>Hassan Fares NP</t>
  </si>
  <si>
    <t>E0011924</t>
  </si>
  <si>
    <t>FARES HASSEN MOHAMED</t>
  </si>
  <si>
    <t>FARES HASSAN MR.</t>
  </si>
  <si>
    <t>Heather Andrzejewski RPA-C</t>
  </si>
  <si>
    <t>E0104837</t>
  </si>
  <si>
    <t>ANDRZEJEWSKI HEATHER LYNN  PA</t>
  </si>
  <si>
    <t>ANDRZEJEWSKI HEATHER MRS.</t>
  </si>
  <si>
    <t>ANDRZEJEWSKI HEATHER LYNN</t>
  </si>
  <si>
    <t>Heather Glose PA</t>
  </si>
  <si>
    <t>HEATHER L. BAILEY PA</t>
  </si>
  <si>
    <t>E0286796</t>
  </si>
  <si>
    <t>BAILEY HEATHER L</t>
  </si>
  <si>
    <t>BAILEY HEATHER MRS.</t>
  </si>
  <si>
    <t>BAILEY HEATHER L RPA</t>
  </si>
  <si>
    <t>21 SPRINGSIDE AVE</t>
  </si>
  <si>
    <t>Heather Larson PA</t>
  </si>
  <si>
    <t>LARSON HEATHER</t>
  </si>
  <si>
    <t>3065 SOUTHWESTERN BLVD, SUITE 100</t>
  </si>
  <si>
    <t>Heather Milliron NP</t>
  </si>
  <si>
    <t>E0049547</t>
  </si>
  <si>
    <t>MILLIRON HEATHER H</t>
  </si>
  <si>
    <t>MILLIRON HEATHER</t>
  </si>
  <si>
    <t>Heidi Campbell PS</t>
  </si>
  <si>
    <t>E0120152</t>
  </si>
  <si>
    <t>CAMPBELL HEIDI ANN</t>
  </si>
  <si>
    <t>CAMPBELL HEIDI</t>
  </si>
  <si>
    <t>Heidi Carr NP</t>
  </si>
  <si>
    <t>E0313933</t>
  </si>
  <si>
    <t>CARR HEIDI MARIE</t>
  </si>
  <si>
    <t>CARR HEIDI MRS.</t>
  </si>
  <si>
    <t>CARR HEIDI M</t>
  </si>
  <si>
    <t>Helen Murphy NP</t>
  </si>
  <si>
    <t>E0022428</t>
  </si>
  <si>
    <t>MURPHY HELEN C</t>
  </si>
  <si>
    <t>MURPHY HELEN</t>
  </si>
  <si>
    <t>MURPHY HELEN O</t>
  </si>
  <si>
    <t>Holly Luderman NP</t>
  </si>
  <si>
    <t>E0430815</t>
  </si>
  <si>
    <t>LUDERMAN HOLLY</t>
  </si>
  <si>
    <t>Ilene Alt NP</t>
  </si>
  <si>
    <t>E0065758</t>
  </si>
  <si>
    <t>ALT ILENE H</t>
  </si>
  <si>
    <t>ALT ILENE</t>
  </si>
  <si>
    <t>Jacqueline Lex PA</t>
  </si>
  <si>
    <t>E0308299</t>
  </si>
  <si>
    <t>LEX JACQUELINE A</t>
  </si>
  <si>
    <t>LEX JACQUELINE</t>
  </si>
  <si>
    <t>Jacqueline Malay PA</t>
  </si>
  <si>
    <t>E0408761</t>
  </si>
  <si>
    <t>MALAY JACQUELINE ALYSE</t>
  </si>
  <si>
    <t>MALAY JACQUELINE</t>
  </si>
  <si>
    <t>Jaime Fetes PA</t>
  </si>
  <si>
    <t>E0291097</t>
  </si>
  <si>
    <t>FETES JAIME LYNN</t>
  </si>
  <si>
    <t>FETES JAIME</t>
  </si>
  <si>
    <t>FETES JAIME LYNN RPA</t>
  </si>
  <si>
    <t>James O'May PA</t>
  </si>
  <si>
    <t>James Rew PA</t>
  </si>
  <si>
    <t>E0172786</t>
  </si>
  <si>
    <t>REW JAMES PAUL</t>
  </si>
  <si>
    <t>REW JAMES MR.</t>
  </si>
  <si>
    <t>James Urgo NP</t>
  </si>
  <si>
    <t>Jamie Bockhahn NP</t>
  </si>
  <si>
    <t>E0295511</t>
  </si>
  <si>
    <t>BOCKHAHN JAMIE LYNNE</t>
  </si>
  <si>
    <t>KOBAN JAMIE</t>
  </si>
  <si>
    <t>KOBAN JAMIE LYNNE</t>
  </si>
  <si>
    <t>Christina Medico NP</t>
  </si>
  <si>
    <t>E0037210</t>
  </si>
  <si>
    <t>MEDICO  CHRISTINA M</t>
  </si>
  <si>
    <t>MEDICO CHRISTINA MRS.</t>
  </si>
  <si>
    <t>MEDICO CHRISTINA MARY</t>
  </si>
  <si>
    <t>Christine Linder NP</t>
  </si>
  <si>
    <t>Christopher Zulawski NP</t>
  </si>
  <si>
    <t>E0036936</t>
  </si>
  <si>
    <t>ZULAWSKI CHRISTOPHER A</t>
  </si>
  <si>
    <t>ZULAWSKI CHRISTOPHER</t>
  </si>
  <si>
    <t>DENT NEURO INSTITUTE</t>
  </si>
  <si>
    <t>Clifford Pyne NP</t>
  </si>
  <si>
    <t>Colin Maloney PA</t>
  </si>
  <si>
    <t>E0387103</t>
  </si>
  <si>
    <t>MALONEY COLLIN</t>
  </si>
  <si>
    <t>MALONEY COLLIN THOMAS</t>
  </si>
  <si>
    <t>Constance Campanella NP</t>
  </si>
  <si>
    <t>E0027119</t>
  </si>
  <si>
    <t>CAMPANELLA CONSTANCE M NP</t>
  </si>
  <si>
    <t>CAMPANELLA CONSTANCE MRS.</t>
  </si>
  <si>
    <t>Corry Wierzbowski PA</t>
  </si>
  <si>
    <t>E0065588</t>
  </si>
  <si>
    <t>WIERZBOWSKI CORRY L</t>
  </si>
  <si>
    <t>WIERZBOWSKI CORRY</t>
  </si>
  <si>
    <t>LISA DEAHN</t>
  </si>
  <si>
    <t>Cristina Virtuoso NP</t>
  </si>
  <si>
    <t>Damian Zakroczemski PA</t>
  </si>
  <si>
    <t>E0299892</t>
  </si>
  <si>
    <t>DAMIAN DANIEL ZAKROCZEMSKI</t>
  </si>
  <si>
    <t>ZAKROCZEMSKI DAMIAN MR.</t>
  </si>
  <si>
    <t>ZAKROCZEMSKI DAMIAN DANIEL</t>
  </si>
  <si>
    <t>Daniel Dudziak PA</t>
  </si>
  <si>
    <t>E0071393</t>
  </si>
  <si>
    <t>DUDZIAK DANIEL G RPA</t>
  </si>
  <si>
    <t>DUDZIAK DANIEL MR.</t>
  </si>
  <si>
    <t>Daniel Nichols PA</t>
  </si>
  <si>
    <t>NICHOLS DANIEL</t>
  </si>
  <si>
    <t>Daniel Reed PA</t>
  </si>
  <si>
    <t>Danielle Moore PA</t>
  </si>
  <si>
    <t>E0359460</t>
  </si>
  <si>
    <t>MOORE DANIELLE ASHLEY</t>
  </si>
  <si>
    <t>MOORE DANIELLE</t>
  </si>
  <si>
    <t>Danielle Panza PA</t>
  </si>
  <si>
    <t>Danielle Tabbi NP</t>
  </si>
  <si>
    <t>E0372200</t>
  </si>
  <si>
    <t>TABBI DANIELLE</t>
  </si>
  <si>
    <t>GRISANTI DANIELLE</t>
  </si>
  <si>
    <t>GRISANTI DANIELLE M</t>
  </si>
  <si>
    <t>DANN SARA PA</t>
  </si>
  <si>
    <t>Darren Holland PA</t>
  </si>
  <si>
    <t>E0329627</t>
  </si>
  <si>
    <t>HOLLAND DARREN M</t>
  </si>
  <si>
    <t>HOLLAND DARREN</t>
  </si>
  <si>
    <t>David Parsons RPA-C</t>
  </si>
  <si>
    <t>Gloria Wang MD</t>
  </si>
  <si>
    <t>E0115727</t>
  </si>
  <si>
    <t>WANG GLORIA MD</t>
  </si>
  <si>
    <t>WANG GLORIA</t>
  </si>
  <si>
    <t>Gordon Tussing DO</t>
  </si>
  <si>
    <t>E0092402</t>
  </si>
  <si>
    <t>TUSSING GORDON PAUL JR MD</t>
  </si>
  <si>
    <t>Nicole Silvestri</t>
  </si>
  <si>
    <t>(716) 839-9113</t>
  </si>
  <si>
    <t>drtussing@roadrunner.com</t>
  </si>
  <si>
    <t>TUSSING GORDON DR.</t>
  </si>
  <si>
    <t>BUFFALO EMERGENCY AS</t>
  </si>
  <si>
    <t>Pedro G. Joven MD</t>
  </si>
  <si>
    <t>E0238192</t>
  </si>
  <si>
    <t>JOVEN PEDRO GALANG         MD</t>
  </si>
  <si>
    <t>(716) 895-6826</t>
  </si>
  <si>
    <t>laub56165@aol.com</t>
  </si>
  <si>
    <t>JOVEN PEDRO</t>
  </si>
  <si>
    <t>FURGALAS NURS HOME</t>
  </si>
  <si>
    <t>Persia, Albert MD</t>
  </si>
  <si>
    <t>E0118338</t>
  </si>
  <si>
    <t>PERSIA ALBERT J MD</t>
  </si>
  <si>
    <t>PERSIA ALBERT DR.</t>
  </si>
  <si>
    <t>PERSIA ALBERT JOEY</t>
  </si>
  <si>
    <t>Peter Adrian MD</t>
  </si>
  <si>
    <t>E0134962</t>
  </si>
  <si>
    <t>ADRIAN PETER G MD</t>
  </si>
  <si>
    <t>(716) 208-1825</t>
  </si>
  <si>
    <t>ADRIAN PETER DR.</t>
  </si>
  <si>
    <t>Peter Campione MD</t>
  </si>
  <si>
    <t>Peter D. Bloom MD</t>
  </si>
  <si>
    <t>Peter Ferin MD</t>
  </si>
  <si>
    <t>E0178835</t>
  </si>
  <si>
    <t>FERIN PETER MD</t>
  </si>
  <si>
    <t>FERIN PETER DR.</t>
  </si>
  <si>
    <t>FERIN PETER</t>
  </si>
  <si>
    <t>Peter Forgach MD</t>
  </si>
  <si>
    <t>E0236596</t>
  </si>
  <si>
    <t>FORGACH PETER W PC         MD</t>
  </si>
  <si>
    <t>Kathleen Forgach</t>
  </si>
  <si>
    <t>(716) 633-7386</t>
  </si>
  <si>
    <t>kforgach@gmail.com</t>
  </si>
  <si>
    <t>FORGACH PETER DR.</t>
  </si>
  <si>
    <t>FORGACH PETER W</t>
  </si>
  <si>
    <t>405 INTERNATIONAL DR</t>
  </si>
  <si>
    <t>Michele Sneed NP</t>
  </si>
  <si>
    <t>E0337483</t>
  </si>
  <si>
    <t>SNEED MICHELE N</t>
  </si>
  <si>
    <t>SNEED MICHELE MS.</t>
  </si>
  <si>
    <t>MICHELLE WARNER PA</t>
  </si>
  <si>
    <t>E0065814</t>
  </si>
  <si>
    <t>WARNER MICHELLE G</t>
  </si>
  <si>
    <t>WARNER MICHELLE MRS.</t>
  </si>
  <si>
    <t>Molly Sheron NP</t>
  </si>
  <si>
    <t>Nancy Osgood PA</t>
  </si>
  <si>
    <t>E0065624</t>
  </si>
  <si>
    <t>OSGOOD NANCY I</t>
  </si>
  <si>
    <t>OSGOOD NANCY MRS.</t>
  </si>
  <si>
    <t>Natalie Asbach PA</t>
  </si>
  <si>
    <t>E0390192</t>
  </si>
  <si>
    <t>ASBACH NATALIE LOUISE</t>
  </si>
  <si>
    <t>ASBACH NATALIE MRS.</t>
  </si>
  <si>
    <t>Natalie Passmore NP</t>
  </si>
  <si>
    <t>Nathan Rush PA</t>
  </si>
  <si>
    <t>RUSH NATHAN MR.</t>
  </si>
  <si>
    <t>NICOLE BIERSBACH PA</t>
  </si>
  <si>
    <t>E0037734</t>
  </si>
  <si>
    <t>BIERSBACH NICOLE M RPA</t>
  </si>
  <si>
    <t>BIERSBACH NICOLE MRS.</t>
  </si>
  <si>
    <t>Nicole Maul PA</t>
  </si>
  <si>
    <t>MAUL NICOLE</t>
  </si>
  <si>
    <t>NICOLE NIEDZWIEDZ NP</t>
  </si>
  <si>
    <t>E0305652</t>
  </si>
  <si>
    <t>NIEDZWIEDZ NICOLE</t>
  </si>
  <si>
    <t>NIEDZWIEDZ NICOLE MARIE</t>
  </si>
  <si>
    <t>3725 N BUFFALO RD STE A</t>
  </si>
  <si>
    <t>Nitul Mathur PA</t>
  </si>
  <si>
    <t>E0285356</t>
  </si>
  <si>
    <t>MATHUR NITUL RPA</t>
  </si>
  <si>
    <t>MATHUR NITUL MR.</t>
  </si>
  <si>
    <t>Pam Hennesen PA</t>
  </si>
  <si>
    <t>Patricia Champlin NP</t>
  </si>
  <si>
    <t>E0065706</t>
  </si>
  <si>
    <t>CHAMPLIN PATRICIA JOAN</t>
  </si>
  <si>
    <t>CHAMPLIN PATRICIA</t>
  </si>
  <si>
    <t>Patricia Hoffarth NP</t>
  </si>
  <si>
    <t>HOFFARTH PATRICIA MS.</t>
  </si>
  <si>
    <t>Kathy Trisket</t>
  </si>
  <si>
    <t>E0365875</t>
  </si>
  <si>
    <t>TRISKET KATHY LYNN</t>
  </si>
  <si>
    <t>TRISKET KATHY</t>
  </si>
  <si>
    <t>DR. ISRAR A ABBASI MD</t>
  </si>
  <si>
    <t>Patricia Newman</t>
  </si>
  <si>
    <t>E0385084</t>
  </si>
  <si>
    <t>NEWMAN PATRICIA C</t>
  </si>
  <si>
    <t>NEWMAN PATRICIA</t>
  </si>
  <si>
    <t>Gina Gazdak</t>
  </si>
  <si>
    <t>E0354465</t>
  </si>
  <si>
    <t>GAZDAK GINA MARIE</t>
  </si>
  <si>
    <t>GAZDAK GINA</t>
  </si>
  <si>
    <t>2 W CRESCENT PARK</t>
  </si>
  <si>
    <t>Constantino, Mark-OT</t>
  </si>
  <si>
    <t>CONSTANTINO MARK</t>
  </si>
  <si>
    <t>Bower, Karen-PT</t>
  </si>
  <si>
    <t>Lawson, Melinda PT</t>
  </si>
  <si>
    <t>LAWSON-CRABTREE MELINDA MRS.</t>
  </si>
  <si>
    <t>71 N PEARL ST</t>
  </si>
  <si>
    <t>FREWSBURG</t>
  </si>
  <si>
    <t>Acquilano, Kristen</t>
  </si>
  <si>
    <t>Alisankus, Anton</t>
  </si>
  <si>
    <t>Ashton, Nicole</t>
  </si>
  <si>
    <t>Beckman, Kevin</t>
  </si>
  <si>
    <t>Borgogelli, Lynn</t>
  </si>
  <si>
    <t>Bowback, Ann</t>
  </si>
  <si>
    <t>Cole, Robert, B.S.</t>
  </si>
  <si>
    <t>COLE ROBERT MR.</t>
  </si>
  <si>
    <t>Cooper, Christina B.A.</t>
  </si>
  <si>
    <t>BECKMANN CHRISTINA</t>
  </si>
  <si>
    <t>Cushman, Sharon, LCSW-R</t>
  </si>
  <si>
    <t>CUSHMAN SHARON</t>
  </si>
  <si>
    <t>Cutrona, Thomas, B.A.</t>
  </si>
  <si>
    <t>CUTRONA THOMAS</t>
  </si>
  <si>
    <t>Fazzino, Jeffrey, MS/LMHC</t>
  </si>
  <si>
    <t>Frank, Heidi, B.A.</t>
  </si>
  <si>
    <t>FRANK HEIDI</t>
  </si>
  <si>
    <t>Griffin, Michelle, B.S.</t>
  </si>
  <si>
    <t>GRIFFIN MICHELLE</t>
  </si>
  <si>
    <t>Gunderia, Dhruvkumar V., M.D.</t>
  </si>
  <si>
    <t>E0007568</t>
  </si>
  <si>
    <t>GUNDERIA DHRUVKUMAR</t>
  </si>
  <si>
    <t>PO BOX 2662</t>
  </si>
  <si>
    <t>Gunderia, Purav, B.A.</t>
  </si>
  <si>
    <t>GUNDERIA PURAV</t>
  </si>
  <si>
    <t>Haspett, Lori, RN, MSN, PMHNP-BC</t>
  </si>
  <si>
    <t>E0315313</t>
  </si>
  <si>
    <t>HASPETT LORI ANNE</t>
  </si>
  <si>
    <t>HASPETT LORI MRS.</t>
  </si>
  <si>
    <t>Hefner, Judith, LCSW-R</t>
  </si>
  <si>
    <t>HEFNER JUDITH</t>
  </si>
  <si>
    <t>Hopkins, Maureen, LCSW-R</t>
  </si>
  <si>
    <t>E0037452</t>
  </si>
  <si>
    <t>HOPKINS MAUREEN</t>
  </si>
  <si>
    <t>HOPKINS MAUREEN L</t>
  </si>
  <si>
    <t>Horizon Health Services</t>
  </si>
  <si>
    <t>Herbert Weiss, Chief Quality &amp; Compliance Officer</t>
  </si>
  <si>
    <t>hweiss@horizon-health.org</t>
  </si>
  <si>
    <t>Horizon Village, Inc.</t>
  </si>
  <si>
    <t>hweis@horizon-health.org</t>
  </si>
  <si>
    <t>Hospice Buffalo, Inc.</t>
  </si>
  <si>
    <t>John Tangeman MD</t>
  </si>
  <si>
    <t>(716) 989-2040</t>
  </si>
  <si>
    <t>jtangeman@palliativecare.org</t>
  </si>
  <si>
    <t>Howard Lippes MD</t>
  </si>
  <si>
    <t>Howard Penn DPM</t>
  </si>
  <si>
    <t>(716) 824-9835</t>
  </si>
  <si>
    <t>footdoc87@msn.com</t>
  </si>
  <si>
    <t>Hunt, Roderic PA-C</t>
  </si>
  <si>
    <t>E0172466</t>
  </si>
  <si>
    <t>HUNT RODERIC TRACY</t>
  </si>
  <si>
    <t>HUNT RODERIC</t>
  </si>
  <si>
    <t>Hussein Merza</t>
  </si>
  <si>
    <t>E0332368</t>
  </si>
  <si>
    <t>MERZA HUSSEIN</t>
  </si>
  <si>
    <t>Hyder Alam</t>
  </si>
  <si>
    <t>Ichabod Jung MD</t>
  </si>
  <si>
    <t>E0083685</t>
  </si>
  <si>
    <t>JUNG ICHABOD S F</t>
  </si>
  <si>
    <t>JUNG ICHABOD</t>
  </si>
  <si>
    <t>13 ELM ST</t>
  </si>
  <si>
    <t>Ihab M. Shafik MD</t>
  </si>
  <si>
    <t>ishafik@limestonepcp.com</t>
  </si>
  <si>
    <t>Indea King</t>
  </si>
  <si>
    <t>E0344023</t>
  </si>
  <si>
    <t>KING INDEA BESHEKA</t>
  </si>
  <si>
    <t>KING INDEA</t>
  </si>
  <si>
    <t>Ingerson, Katie PA-C</t>
  </si>
  <si>
    <t>E0364353</t>
  </si>
  <si>
    <t>INGERSON KATIE LYNN</t>
  </si>
  <si>
    <t>MADDEN KATIE</t>
  </si>
  <si>
    <t>MADDEN KATIE LYNN</t>
  </si>
  <si>
    <t>Innovative Health Svcs of America, dba MASH Care Network</t>
  </si>
  <si>
    <t>Paul Snyder III</t>
  </si>
  <si>
    <t>(716) 332-4214</t>
  </si>
  <si>
    <t>psnyder@snydercorp.com</t>
  </si>
  <si>
    <t>6 Fountain Plaza</t>
  </si>
  <si>
    <t>Irfan Khan MD</t>
  </si>
  <si>
    <t>Iris Danziger MD</t>
  </si>
  <si>
    <t>danzigermd@aol.com</t>
  </si>
  <si>
    <t>Irshad Ali MD</t>
  </si>
  <si>
    <t>E0254237</t>
  </si>
  <si>
    <t>ALI IRSHAD                 MD</t>
  </si>
  <si>
    <t>Cathy Normandin</t>
  </si>
  <si>
    <t>(716) 835-5869</t>
  </si>
  <si>
    <t>drirshadali44@gmail.com</t>
  </si>
  <si>
    <t>ALI IRSHAD DR.</t>
  </si>
  <si>
    <t>357 ENGLEWOOD AVE</t>
  </si>
  <si>
    <t>J. William Canavan MD</t>
  </si>
  <si>
    <t>J.K. Bhattacharyya MD</t>
  </si>
  <si>
    <t>E0239061</t>
  </si>
  <si>
    <t>BHATTACHARYYA J K MD PC</t>
  </si>
  <si>
    <t>(716) 822-8078</t>
  </si>
  <si>
    <t>jkbhatta@aol.com</t>
  </si>
  <si>
    <t>BHATTACHARYYA JADAB</t>
  </si>
  <si>
    <t>534 ABBOTT RD</t>
  </si>
  <si>
    <t>Janet May PA</t>
  </si>
  <si>
    <t>E0024527</t>
  </si>
  <si>
    <t>MAY JANET M RPA</t>
  </si>
  <si>
    <t>MAY JANET</t>
  </si>
  <si>
    <t>MAY JANET MARIE</t>
  </si>
  <si>
    <t>Janice Pennington NP</t>
  </si>
  <si>
    <t>E0292238</t>
  </si>
  <si>
    <t>PENNINGTON JANICE MORTIMER NP</t>
  </si>
  <si>
    <t>PENNINGTON JANICE</t>
  </si>
  <si>
    <t>PENNINGTON JANICE MORTIMER</t>
  </si>
  <si>
    <t>1306 SWEET HOME RD</t>
  </si>
  <si>
    <t>Jason Hooper PA</t>
  </si>
  <si>
    <t>HOOPER JASON</t>
  </si>
  <si>
    <t>Jayne Overholt PNP</t>
  </si>
  <si>
    <t>E0124759</t>
  </si>
  <si>
    <t>OVERHOLT JAYNE CLAIRE</t>
  </si>
  <si>
    <t>OVERHOLT JAYNE</t>
  </si>
  <si>
    <t>Jeffrey Park PA</t>
  </si>
  <si>
    <t>E0065633</t>
  </si>
  <si>
    <t>PARK JEFFREY M</t>
  </si>
  <si>
    <t>PARK JEFFREY MR.</t>
  </si>
  <si>
    <t>Jeffrey Rassman PA</t>
  </si>
  <si>
    <t>JENNA BIDDLECOM PA</t>
  </si>
  <si>
    <t>MARTIN JENNA</t>
  </si>
  <si>
    <t>Jennifer Barwell PA</t>
  </si>
  <si>
    <t>E0289909</t>
  </si>
  <si>
    <t>BARWELL JENNIFER J</t>
  </si>
  <si>
    <t>BARWELL JENNIFER MRS.</t>
  </si>
  <si>
    <t>BARWELL JENNIFER J RPA</t>
  </si>
  <si>
    <t>Jennifer Brien PA</t>
  </si>
  <si>
    <t>Jennifer Earsing NP</t>
  </si>
  <si>
    <t>EARSING JENNIFER MRS.</t>
  </si>
  <si>
    <t>Jennifer Guarino PA</t>
  </si>
  <si>
    <t>E0321241</t>
  </si>
  <si>
    <t>JENNIFER KATHLEEN GUARINO</t>
  </si>
  <si>
    <t>CHOUCHANI JENNIFER</t>
  </si>
  <si>
    <t>GUARINO JENNIFER KATHLEEN</t>
  </si>
  <si>
    <t>JENNIFER MUSCARELLA PA</t>
  </si>
  <si>
    <t>E0028903</t>
  </si>
  <si>
    <t>MUSCARELLA JENNIFER MAE</t>
  </si>
  <si>
    <t>MUSCARELLA JENNIFER</t>
  </si>
  <si>
    <t>Jennifer Phillips PA</t>
  </si>
  <si>
    <t>E0065396</t>
  </si>
  <si>
    <t>PHILLIPS JENNIFER D RPA</t>
  </si>
  <si>
    <t>PHILLIPS JENNIFER</t>
  </si>
  <si>
    <t>Jennifer Rankie PA</t>
  </si>
  <si>
    <t>E0057012</t>
  </si>
  <si>
    <t>WOLLABER JENNIFER M RPA</t>
  </si>
  <si>
    <t>RANKIE JENNIFER</t>
  </si>
  <si>
    <t>RANKIE JENNIFER M RPA</t>
  </si>
  <si>
    <t>100 COLLEGE PKWY STE 110</t>
  </si>
  <si>
    <t>Jennifer Smith PA</t>
  </si>
  <si>
    <t>E0065740</t>
  </si>
  <si>
    <t>SMITH JENNIFER A</t>
  </si>
  <si>
    <t>SMITH JENNIFER MS.</t>
  </si>
  <si>
    <t>SMITH JENNIFER ANNE</t>
  </si>
  <si>
    <t>Jerome Rutowski NP</t>
  </si>
  <si>
    <t>E0312516</t>
  </si>
  <si>
    <t>RUTOWSKI JEROME MICHAEL</t>
  </si>
  <si>
    <t>RUTOWSKI JEROME</t>
  </si>
  <si>
    <t>Jessica Amborski PA</t>
  </si>
  <si>
    <t>E0326418</t>
  </si>
  <si>
    <t>JESSICA DREXINGER</t>
  </si>
  <si>
    <t>AMBORSKI JESSICA MRS.</t>
  </si>
  <si>
    <t>AMBORSKI JESSICA</t>
  </si>
  <si>
    <t>5893 CAMP RD STE 3</t>
  </si>
  <si>
    <t>Jill Galley PA</t>
  </si>
  <si>
    <t>E0360154</t>
  </si>
  <si>
    <t>GALLEY JILL MARIE</t>
  </si>
  <si>
    <t>GALLEY JILL</t>
  </si>
  <si>
    <t>Jeffrey Constantine MD</t>
  </si>
  <si>
    <t>Jeffrey dePerio MD</t>
  </si>
  <si>
    <t>E0139554</t>
  </si>
  <si>
    <t>DEPERIO JEFFREY ANTHONY MD</t>
  </si>
  <si>
    <t>Jeffrey Deperio</t>
  </si>
  <si>
    <t>(716) 683-6737</t>
  </si>
  <si>
    <t>jdmd10@hotmail.com</t>
  </si>
  <si>
    <t>DE PERIO JEFFREY DR.</t>
  </si>
  <si>
    <t>Jeffrey Frost MD</t>
  </si>
  <si>
    <t>Jeffrey Martinez MD</t>
  </si>
  <si>
    <t>Jeffrey Parker DO</t>
  </si>
  <si>
    <t>E0304714</t>
  </si>
  <si>
    <t>PARKER JEFFREY MICHAEL DO</t>
  </si>
  <si>
    <t>Marcia Taylor</t>
  </si>
  <si>
    <t>(716) 479-5761</t>
  </si>
  <si>
    <t>marcare@roadrunner.com</t>
  </si>
  <si>
    <t>PARKER JEFFREY DR.</t>
  </si>
  <si>
    <t>1191 BOWEN RD</t>
  </si>
  <si>
    <t>Jeffrey R Neu MD</t>
  </si>
  <si>
    <t>Jeffrey Schratz MD</t>
  </si>
  <si>
    <t>E0173552</t>
  </si>
  <si>
    <t>SCHRATZ JEFFREY JOHN MD</t>
  </si>
  <si>
    <t>SCHRATZ JEFFREY DR.</t>
  </si>
  <si>
    <t>Jeffrey Steinig MD</t>
  </si>
  <si>
    <t>David Anderson</t>
  </si>
  <si>
    <t>danders.ua@gmail.com</t>
  </si>
  <si>
    <t>Jeffrey Visco MD</t>
  </si>
  <si>
    <t>Diane Payne</t>
  </si>
  <si>
    <t>(716) 857-8751</t>
  </si>
  <si>
    <t>dpayne@buffalomedicalgroup.com</t>
  </si>
  <si>
    <t>Jehad Miqdadi MD</t>
  </si>
  <si>
    <t>Jennifer Brown MD</t>
  </si>
  <si>
    <t>Jennifer Erickson DO</t>
  </si>
  <si>
    <t>E0115748</t>
  </si>
  <si>
    <t>ERICKSON JENNIFER</t>
  </si>
  <si>
    <t>ERICKSON JENNIFER DR.</t>
  </si>
  <si>
    <t>ERICKSON JENNIFER N</t>
  </si>
  <si>
    <t>Peter Janes MD</t>
  </si>
  <si>
    <t>E0072363</t>
  </si>
  <si>
    <t>JANES PETER T MD</t>
  </si>
  <si>
    <t>JANES PETER</t>
  </si>
  <si>
    <t>Peter Shields MD</t>
  </si>
  <si>
    <t>Peter Walter MD</t>
  </si>
  <si>
    <t>E0148111</t>
  </si>
  <si>
    <t>WALTER PETER J MD</t>
  </si>
  <si>
    <t>WALTER PETER</t>
  </si>
  <si>
    <t>WALTER PETER JACOB</t>
  </si>
  <si>
    <t>Peterkin Lee-Kwen MD</t>
  </si>
  <si>
    <t>Teresa Roasti</t>
  </si>
  <si>
    <t>stnomg@gmail.com</t>
  </si>
  <si>
    <t>Peterson, Jacqueline PA-C</t>
  </si>
  <si>
    <t>E0065893</t>
  </si>
  <si>
    <t>PETERSON JACQUELYN R RPA</t>
  </si>
  <si>
    <t>PETERSON JACQUELYN</t>
  </si>
  <si>
    <t>PETERSON JACQUELYN RUTH RPA</t>
  </si>
  <si>
    <t>Philip Aliotta MD</t>
  </si>
  <si>
    <t>Philip Fu MD</t>
  </si>
  <si>
    <t>Philip G Lauria MD</t>
  </si>
  <si>
    <t>Philip J Rados MD</t>
  </si>
  <si>
    <t>E0145445</t>
  </si>
  <si>
    <t>RADOS PHILIP J MD</t>
  </si>
  <si>
    <t>RADOS PHILIP</t>
  </si>
  <si>
    <t>Philip M. Dvoretsky MD</t>
  </si>
  <si>
    <t>E0015669</t>
  </si>
  <si>
    <t>DVORETSKY PHILIP</t>
  </si>
  <si>
    <t>Philip Penepent Jr MD</t>
  </si>
  <si>
    <t>drpenepent@gmail.com</t>
  </si>
  <si>
    <t>Philip Sauvageau MD</t>
  </si>
  <si>
    <t>E0085297</t>
  </si>
  <si>
    <t>SAUVAGEAU PHILIP</t>
  </si>
  <si>
    <t>SAUVAGEAU PHILIP DR.</t>
  </si>
  <si>
    <t>Philip Seereiter Jr MD</t>
  </si>
  <si>
    <t>Philip Sullivan MD</t>
  </si>
  <si>
    <t>Phillip C. Culliton DPM</t>
  </si>
  <si>
    <t>E0230941</t>
  </si>
  <si>
    <t>CULLITON PHILLIP CHARLES DPM</t>
  </si>
  <si>
    <t>Cindy Carnine</t>
  </si>
  <si>
    <t>(716) 835-2617</t>
  </si>
  <si>
    <t>philculliton1@roadrunner.com</t>
  </si>
  <si>
    <t>CULLITON PHILLIP</t>
  </si>
  <si>
    <t>CULLITON PHILLIP CHARLES</t>
  </si>
  <si>
    <t>275 BROMPTON RD</t>
  </si>
  <si>
    <t>Pirouz Fakhraei MD</t>
  </si>
  <si>
    <t>E0349758</t>
  </si>
  <si>
    <t>FAKHRAEI PIROUZ</t>
  </si>
  <si>
    <t>Pirouz_F@yahoo.com</t>
  </si>
  <si>
    <t>PLS III LLC dba We Care</t>
  </si>
  <si>
    <t>Paul Snyder, IV</t>
  </si>
  <si>
    <t>(716) 898-7917</t>
  </si>
  <si>
    <t>psnyder4@wecaretrans.com</t>
  </si>
  <si>
    <t>PLS III DBA WE CARE</t>
  </si>
  <si>
    <t>401 E AMHERST ST</t>
  </si>
  <si>
    <t>Prama Luther MD</t>
  </si>
  <si>
    <t>E0117008</t>
  </si>
  <si>
    <t>LUTHER PRAMA</t>
  </si>
  <si>
    <t>Amie McCusker</t>
  </si>
  <si>
    <t>(716) 894-5610</t>
  </si>
  <si>
    <t>amiemccusker@yahoo.com</t>
  </si>
  <si>
    <t>LUTHER PRAMA DR.</t>
  </si>
  <si>
    <t>2671 HARLEM RD</t>
  </si>
  <si>
    <t>Pramod Luthra MD</t>
  </si>
  <si>
    <t>E0230748</t>
  </si>
  <si>
    <t>LUTHRA PRAMOD K            MD</t>
  </si>
  <si>
    <t>LUTHRA PRAMOD DR.</t>
  </si>
  <si>
    <t>Prashant Pendyala MD</t>
  </si>
  <si>
    <t>(716) 650-0373</t>
  </si>
  <si>
    <t>ppendyalamd@gmail.com</t>
  </si>
  <si>
    <t>Qamrunnisa Rahman MD</t>
  </si>
  <si>
    <t>E0101201</t>
  </si>
  <si>
    <t>RAHMAN QAMRUNNISA MD</t>
  </si>
  <si>
    <t>RAHMAN QAMRUNNISA</t>
  </si>
  <si>
    <t>Qasim Jaffri DO</t>
  </si>
  <si>
    <t>E0294293</t>
  </si>
  <si>
    <t>JAFFRI QASIM SYED</t>
  </si>
  <si>
    <t>JAFFRI QASIM</t>
  </si>
  <si>
    <t>2800 SWEET HOME RD STE 8</t>
  </si>
  <si>
    <t>Suzanne Thomas NP</t>
  </si>
  <si>
    <t>E0293545</t>
  </si>
  <si>
    <t>THOMAS SUZANNE K</t>
  </si>
  <si>
    <t>THOMAS SUZANNE MRS.</t>
  </si>
  <si>
    <t>E0206186</t>
  </si>
  <si>
    <t>UCP WESTERN NY PEPPERTREE ICF</t>
  </si>
  <si>
    <t>PEPPERTREE ICF</t>
  </si>
  <si>
    <t>August Bruno, Jr. MD</t>
  </si>
  <si>
    <t>Autumn View Healthcare facility</t>
  </si>
  <si>
    <t>Avtar Samra MD</t>
  </si>
  <si>
    <t>E0159307</t>
  </si>
  <si>
    <t>SAMRA AVTAR SINGH</t>
  </si>
  <si>
    <t>SAMRA AVTAR</t>
  </si>
  <si>
    <t>Ayesha Butt MD</t>
  </si>
  <si>
    <t>E0300624</t>
  </si>
  <si>
    <t>BUTT AYESHA ZAHEER</t>
  </si>
  <si>
    <t>BUTT AYESHA</t>
  </si>
  <si>
    <t>John DeAngelo</t>
  </si>
  <si>
    <t>(716) 753-4800</t>
  </si>
  <si>
    <t>deangelj@co.chautauqua.ny.us</t>
  </si>
  <si>
    <t>John Lomeo</t>
  </si>
  <si>
    <t>John.Lomeo@wnyhealthcare.org</t>
  </si>
  <si>
    <t>Thomas E. Holt</t>
  </si>
  <si>
    <t>Community Health Worker Network of Buffalo</t>
  </si>
  <si>
    <t>Jessica Bauer Walker</t>
  </si>
  <si>
    <t>(716) 548-6727</t>
  </si>
  <si>
    <t>jessica_a_bauer@yahoo.com</t>
  </si>
  <si>
    <t>515 Main Street</t>
  </si>
  <si>
    <t>P2 Collaborative of Western New York</t>
  </si>
  <si>
    <t>John D. Craik</t>
  </si>
  <si>
    <t>(716) 923-6573</t>
  </si>
  <si>
    <t>jcraik@p2wny.org</t>
  </si>
  <si>
    <t>355 Harlem Rd, Building C 2nd Floor</t>
  </si>
  <si>
    <t>Kalos Health (MLTC)</t>
  </si>
  <si>
    <t>4675 Sunset Drive</t>
  </si>
  <si>
    <t>Liberty Home Care</t>
  </si>
  <si>
    <t>2424 Niagara Falls Blvd</t>
  </si>
  <si>
    <t>LASKOWSKI STEPHEN</t>
  </si>
  <si>
    <t>E0154659</t>
  </si>
  <si>
    <t>LASKOWSKI STEPHEN M MD</t>
  </si>
  <si>
    <t>Jenny Sterner</t>
  </si>
  <si>
    <t>stephen.laskowski@medicorassociates.com</t>
  </si>
  <si>
    <t>LASKOWSKI STEPHEN MARTIN</t>
  </si>
  <si>
    <t>FRANKIEWICZ JEFFREY</t>
  </si>
  <si>
    <t>E0436941</t>
  </si>
  <si>
    <t>FRANKIEWICZ JEFFREY R</t>
  </si>
  <si>
    <t>jeffrey.frankiewicz@medicorassociates.com</t>
  </si>
  <si>
    <t>AKKINEPALLY SITA LAKSHMI DR.</t>
  </si>
  <si>
    <t>E0425057</t>
  </si>
  <si>
    <t>AKKINEPALLY SITA LAKSHMI</t>
  </si>
  <si>
    <t>sita.akkinepally@medicorassociates.com</t>
  </si>
  <si>
    <t>Jodie Cain</t>
  </si>
  <si>
    <t>wayra.salazar@medicorassociates.com</t>
  </si>
  <si>
    <t>Kim Woloszyn</t>
  </si>
  <si>
    <t>shakeel.ahmad@medicorassociates.com</t>
  </si>
  <si>
    <t>GALLAGHER SARAH</t>
  </si>
  <si>
    <t>E0385455</t>
  </si>
  <si>
    <t>GALLAGHER SARAH QUINLIVAN</t>
  </si>
  <si>
    <t>BUSH DEBORAH</t>
  </si>
  <si>
    <t>E0390454</t>
  </si>
  <si>
    <t>BUSH DEBORAH L</t>
  </si>
  <si>
    <t>Hollie Simpson</t>
  </si>
  <si>
    <t>debra.bush@medicorassociates.com</t>
  </si>
  <si>
    <t>BARRETT LISA</t>
  </si>
  <si>
    <t>E0347272</t>
  </si>
  <si>
    <t>BARRETT LISA ANN</t>
  </si>
  <si>
    <t>lisa.barrett@medicorassociates.com</t>
  </si>
  <si>
    <t>IZZIO DEBRA</t>
  </si>
  <si>
    <t>E0010049</t>
  </si>
  <si>
    <t>IZZIO DEBRA A RPA</t>
  </si>
  <si>
    <t>deb.izzio@medicorassociates.com</t>
  </si>
  <si>
    <t>EUSTACE MARY</t>
  </si>
  <si>
    <t>E0443422</t>
  </si>
  <si>
    <t>EUSTACE MARY ELIZABETH</t>
  </si>
  <si>
    <t>mary.eustace@medicorassociates.com</t>
  </si>
  <si>
    <t>CASA Genesee</t>
  </si>
  <si>
    <t>Ashley Hausfelder</t>
  </si>
  <si>
    <t>(585) 409-3491</t>
  </si>
  <si>
    <t>director@geneseecountycasa.org</t>
  </si>
  <si>
    <t xml:space="preserve">1 West Main St. </t>
  </si>
  <si>
    <t>CASA Chautauqua</t>
  </si>
  <si>
    <t>Kathy Park</t>
  </si>
  <si>
    <t>kparkcasa@gmail.com</t>
  </si>
  <si>
    <t>2 Academy Street, Suite 5</t>
  </si>
  <si>
    <t>Western New York Independent Living, Inc.</t>
  </si>
  <si>
    <t>Katrina Bytschkow</t>
  </si>
  <si>
    <t>(716) 836-0822</t>
  </si>
  <si>
    <t>kbytschkow@wnyil.org</t>
  </si>
  <si>
    <t xml:space="preserve">3108 Main St. </t>
  </si>
  <si>
    <t>Council on Addiction Recovery Services, Inc. (CAReS)</t>
  </si>
  <si>
    <t>Dee Dee Bartz</t>
  </si>
  <si>
    <t>519____</t>
  </si>
  <si>
    <t>dbartz@councilonaddiction.org</t>
  </si>
  <si>
    <t>201 S Union St</t>
  </si>
  <si>
    <t xml:space="preserve">Wyoming County  Mental Health </t>
  </si>
  <si>
    <t>460 North Main Street</t>
  </si>
  <si>
    <t>Native American Community Services of Erie &amp; Niagara Counties, Inc.</t>
  </si>
  <si>
    <t>Starlene Wheeler</t>
  </si>
  <si>
    <t>swheeler@nacswny.org</t>
  </si>
  <si>
    <t>1005 Grant Street</t>
  </si>
  <si>
    <t>Matt Smith</t>
  </si>
  <si>
    <t>Allegany Council for Alcoholism and Substance Abuse</t>
  </si>
  <si>
    <t>Kimberley Strauser</t>
  </si>
  <si>
    <t>719____</t>
  </si>
  <si>
    <t>kstrauser@alleganycouncil.org</t>
  </si>
  <si>
    <t>3084 Trapping Brook Rd</t>
  </si>
  <si>
    <t>Genesee Orleans Council on Alcohol and Substance Abuse</t>
  </si>
  <si>
    <t>Kimberley Strauser John P. Bennett</t>
  </si>
  <si>
    <t>430 East Main Street</t>
  </si>
  <si>
    <t>2.a.i.</t>
  </si>
  <si>
    <t>2.b.iii.</t>
  </si>
  <si>
    <t>Emergency Departments with Care Triage</t>
  </si>
  <si>
    <t>2.b.iv.</t>
  </si>
  <si>
    <t>2.c.ii.</t>
  </si>
  <si>
    <t>3.a.i.</t>
  </si>
  <si>
    <t>3.b.i.</t>
  </si>
  <si>
    <t>3.f.i.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</si>
  <si>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</si>
  <si>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</si>
  <si>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</si>
  <si>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</si>
  <si>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</si>
  <si>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</si>
  <si>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</si>
  <si>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</si>
  <si>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</si>
  <si>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</si>
  <si>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</si>
  <si>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</si>
  <si>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</si>
  <si>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</si>
  <si>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</si>
  <si>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</si>
  <si>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</si>
  <si>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</si>
  <si>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Community Based Organization</t>
  </si>
  <si>
    <t>Yes*</t>
  </si>
  <si>
    <t>*Catholic Medical Partners IPA has been approved as a Safety Net provider for the Sisters of Charity PPS (A.K.A CPWNY PPS)</t>
  </si>
  <si>
    <t>1609804368</t>
  </si>
  <si>
    <t>1952563439</t>
  </si>
  <si>
    <t>1114941267</t>
  </si>
  <si>
    <t>1902864234</t>
  </si>
  <si>
    <t>1639134174</t>
  </si>
  <si>
    <t>1992948475</t>
  </si>
  <si>
    <t>1508828906</t>
  </si>
  <si>
    <t>1619901170</t>
  </si>
  <si>
    <t>1417987694</t>
  </si>
  <si>
    <t>1336148709</t>
  </si>
  <si>
    <t>1588667893</t>
  </si>
  <si>
    <t>1407844145</t>
  </si>
  <si>
    <t>1225057037</t>
  </si>
  <si>
    <t>1699731588</t>
  </si>
  <si>
    <t>1881687358</t>
  </si>
  <si>
    <t>1386604775</t>
  </si>
  <si>
    <t>1588623714</t>
  </si>
  <si>
    <t>1194799494</t>
  </si>
  <si>
    <t>1083638027</t>
  </si>
  <si>
    <t>1457330623</t>
  </si>
  <si>
    <t>1508820242</t>
  </si>
  <si>
    <t>1841283629</t>
  </si>
  <si>
    <t>1023278082</t>
  </si>
  <si>
    <t>1144273004</t>
  </si>
  <si>
    <t>1477887560</t>
  </si>
  <si>
    <t>1689687857</t>
  </si>
  <si>
    <t>1609832914</t>
  </si>
  <si>
    <t>1790740637</t>
  </si>
  <si>
    <t>1720221229</t>
  </si>
  <si>
    <t>1992708754</t>
  </si>
  <si>
    <t>1891772836</t>
  </si>
  <si>
    <t>1225000268</t>
  </si>
  <si>
    <t>1447257399</t>
  </si>
  <si>
    <t>1114168499</t>
  </si>
  <si>
    <t>1528032695</t>
  </si>
  <si>
    <t>1508800491</t>
  </si>
  <si>
    <t>1538128764</t>
  </si>
  <si>
    <t>1285616425</t>
  </si>
  <si>
    <t>1912940214</t>
  </si>
  <si>
    <t>1205890308</t>
  </si>
  <si>
    <t>1790728004</t>
  </si>
  <si>
    <t>1114921947</t>
  </si>
  <si>
    <t>1700889573</t>
  </si>
  <si>
    <t>1316012560</t>
  </si>
  <si>
    <t>1164524708</t>
  </si>
  <si>
    <t>1922091685</t>
  </si>
  <si>
    <t>1487673281</t>
  </si>
  <si>
    <t>1073535449</t>
  </si>
  <si>
    <t>1093771396</t>
  </si>
  <si>
    <t>1063459394</t>
  </si>
  <si>
    <t>1790871846</t>
  </si>
  <si>
    <t>1770762015</t>
  </si>
  <si>
    <t>1033343173</t>
  </si>
  <si>
    <t>1730166448</t>
  </si>
  <si>
    <t>1003880113</t>
  </si>
  <si>
    <t>1851685572</t>
  </si>
  <si>
    <t>1629068408</t>
  </si>
  <si>
    <t>1891799656</t>
  </si>
  <si>
    <t>1134187537</t>
  </si>
  <si>
    <t>1053348599</t>
  </si>
  <si>
    <t>1700841756</t>
  </si>
  <si>
    <t>1487655908</t>
  </si>
  <si>
    <t>1952370173</t>
  </si>
  <si>
    <t>1861553349</t>
  </si>
  <si>
    <t>1215967880</t>
  </si>
  <si>
    <t>1629077391</t>
  </si>
  <si>
    <t>1164669651</t>
  </si>
  <si>
    <t>1255478376</t>
  </si>
  <si>
    <t>1730132366</t>
  </si>
  <si>
    <t>1437135381</t>
  </si>
  <si>
    <t>1790775575</t>
  </si>
  <si>
    <t>1811926249</t>
  </si>
  <si>
    <t>1821091794</t>
  </si>
  <si>
    <t>1124080056</t>
  </si>
  <si>
    <t>1245292192</t>
  </si>
  <si>
    <t>1821070970</t>
  </si>
  <si>
    <t>1306825153</t>
  </si>
  <si>
    <t>1801845516</t>
  </si>
  <si>
    <t>1326115304</t>
  </si>
  <si>
    <t>1609855477</t>
  </si>
  <si>
    <t>1750398160</t>
  </si>
  <si>
    <t>1154488351</t>
  </si>
  <si>
    <t>1629052667</t>
  </si>
  <si>
    <t>1326005430</t>
  </si>
  <si>
    <t>1396793782</t>
  </si>
  <si>
    <t>1871558825</t>
  </si>
  <si>
    <t>1912969304</t>
  </si>
  <si>
    <t>1023016417</t>
  </si>
  <si>
    <t>1912160573</t>
  </si>
  <si>
    <t>1467431577</t>
  </si>
  <si>
    <t>1538127113</t>
  </si>
  <si>
    <t>1679550412</t>
  </si>
  <si>
    <t>1639102874</t>
  </si>
  <si>
    <t>1053361816</t>
  </si>
  <si>
    <t>1295709137</t>
  </si>
  <si>
    <t>1013936137</t>
  </si>
  <si>
    <t>1811926124</t>
  </si>
  <si>
    <t>1932137122</t>
  </si>
  <si>
    <t>1225015621</t>
  </si>
  <si>
    <t>1285877050</t>
  </si>
  <si>
    <t>1609852714</t>
  </si>
  <si>
    <t>1518949833</t>
  </si>
  <si>
    <t>1417908419</t>
  </si>
  <si>
    <t>1497717888</t>
  </si>
  <si>
    <t>1881663144</t>
  </si>
  <si>
    <t>1508933581</t>
  </si>
  <si>
    <t>1073556825</t>
  </si>
  <si>
    <t>1558396325</t>
  </si>
  <si>
    <t>1992779284</t>
  </si>
  <si>
    <t>1992706485</t>
  </si>
  <si>
    <t>1205842184</t>
  </si>
  <si>
    <t>1770523342</t>
  </si>
  <si>
    <t>1124061320</t>
  </si>
  <si>
    <t>1881761864</t>
  </si>
  <si>
    <t>1285690008</t>
  </si>
  <si>
    <t>1982604468</t>
  </si>
  <si>
    <t>1912900432</t>
  </si>
  <si>
    <t>1326004649</t>
  </si>
  <si>
    <t>1285608844</t>
  </si>
  <si>
    <t>1770716003</t>
  </si>
  <si>
    <t>1649213091</t>
  </si>
  <si>
    <t>1285605725</t>
  </si>
  <si>
    <t>1922093129</t>
  </si>
  <si>
    <t>1922344159</t>
  </si>
  <si>
    <t>1952372575</t>
  </si>
  <si>
    <t>1770586398</t>
  </si>
  <si>
    <t>1629045026</t>
  </si>
  <si>
    <t>1750473419</t>
  </si>
  <si>
    <t>1043647688</t>
  </si>
  <si>
    <t>1184699670</t>
  </si>
  <si>
    <t>1508273582</t>
  </si>
  <si>
    <t>1073572475</t>
  </si>
  <si>
    <t>1184692816</t>
  </si>
  <si>
    <t>1104819952</t>
  </si>
  <si>
    <t>1154315554</t>
  </si>
  <si>
    <t>1477796092</t>
  </si>
  <si>
    <t>1730120304</t>
  </si>
  <si>
    <t>1982636650</t>
  </si>
  <si>
    <t>1073568358</t>
  </si>
  <si>
    <t>1093706657</t>
  </si>
  <si>
    <t>1497818173</t>
  </si>
  <si>
    <t>1558318949</t>
  </si>
  <si>
    <t>1033117809</t>
  </si>
  <si>
    <t>1245221274</t>
  </si>
  <si>
    <t>1952397283</t>
  </si>
  <si>
    <t>1538125869</t>
  </si>
  <si>
    <t>1700827110</t>
  </si>
  <si>
    <t>1730126400</t>
  </si>
  <si>
    <t>1568442465</t>
  </si>
  <si>
    <t>1275568958</t>
  </si>
  <si>
    <t>1922083989</t>
  </si>
  <si>
    <t>1639165772</t>
  </si>
  <si>
    <t>1912936121</t>
  </si>
  <si>
    <t>1659346948</t>
  </si>
  <si>
    <t>1821035593</t>
  </si>
  <si>
    <t>1942232632</t>
  </si>
  <si>
    <t>1356388029</t>
  </si>
  <si>
    <t>1205813680</t>
  </si>
  <si>
    <t>1649202342</t>
  </si>
  <si>
    <t>1528034261</t>
  </si>
  <si>
    <t>1386600765</t>
  </si>
  <si>
    <t>1710942818</t>
  </si>
  <si>
    <t>1235195769</t>
  </si>
  <si>
    <t>1376509976</t>
  </si>
  <si>
    <t>1811167448</t>
  </si>
  <si>
    <t>1740266451</t>
  </si>
  <si>
    <t>1841287687</t>
  </si>
  <si>
    <t>1740401918</t>
  </si>
  <si>
    <t>1922071521</t>
  </si>
  <si>
    <t>1043296759</t>
  </si>
  <si>
    <t>1598752438</t>
  </si>
  <si>
    <t>1457324014</t>
  </si>
  <si>
    <t>1235115957</t>
  </si>
  <si>
    <t>1659359149</t>
  </si>
  <si>
    <t>1851610950</t>
  </si>
  <si>
    <t>Jeremy Riedesel MD</t>
  </si>
  <si>
    <t>1720057599</t>
  </si>
  <si>
    <t>Robert Berke MD</t>
  </si>
  <si>
    <t>1851360606</t>
  </si>
  <si>
    <t>Alexander Selioutski MD</t>
  </si>
  <si>
    <t>1154310266</t>
  </si>
  <si>
    <t>Albert Persia MD</t>
  </si>
  <si>
    <t>1336391721</t>
  </si>
  <si>
    <t>1427068782</t>
  </si>
  <si>
    <t>1811284714</t>
  </si>
  <si>
    <t>1861436719</t>
  </si>
  <si>
    <t>John LaMancuso MD</t>
  </si>
  <si>
    <t>1801892708</t>
  </si>
  <si>
    <t>1144291576</t>
  </si>
  <si>
    <t>Lynn Dunham MD</t>
  </si>
  <si>
    <t>1972574598</t>
  </si>
  <si>
    <t>Barbara Mincarelli MD</t>
  </si>
  <si>
    <t>1053382663</t>
  </si>
  <si>
    <t>Carrie Rowan DO</t>
  </si>
  <si>
    <t>1396716908</t>
  </si>
  <si>
    <t>Jerzy Prygodzki MD</t>
  </si>
  <si>
    <t>1093786600</t>
  </si>
  <si>
    <t>Virginia Campion MD</t>
  </si>
  <si>
    <t>1073584694</t>
  </si>
  <si>
    <t>Billy Toms MD</t>
  </si>
  <si>
    <t>1073511424</t>
  </si>
  <si>
    <t>Patrick Collins MD</t>
  </si>
  <si>
    <t>1952329591</t>
  </si>
  <si>
    <t>Catherine Powers MD</t>
  </si>
  <si>
    <t>1851319685</t>
  </si>
  <si>
    <t>Andrea Johnson MD</t>
  </si>
  <si>
    <t>1215961347</t>
  </si>
  <si>
    <t>Wolf-Dieter Krahn MD</t>
  </si>
  <si>
    <t>1235157926</t>
  </si>
  <si>
    <t>Rudolph Mueller MD</t>
  </si>
  <si>
    <t>1215955984</t>
  </si>
  <si>
    <t>Diane Mueller MD</t>
  </si>
  <si>
    <t>1497089460</t>
  </si>
  <si>
    <t>Quratul Raja MD</t>
  </si>
  <si>
    <t>1235409673</t>
  </si>
  <si>
    <t>Hussein Merza MD</t>
  </si>
  <si>
    <t>1942303029</t>
  </si>
  <si>
    <t>Carl Roth DO</t>
  </si>
  <si>
    <t>1295758860</t>
  </si>
  <si>
    <t>Steven Barnes DO</t>
  </si>
  <si>
    <t>1316195696</t>
  </si>
  <si>
    <t>Wayra Salazar-Moreno MD</t>
  </si>
  <si>
    <t>1750357810</t>
  </si>
  <si>
    <t>Hyder Alam MD</t>
  </si>
  <si>
    <t>1992771935</t>
  </si>
  <si>
    <t>Anthony Bartholomew MD</t>
  </si>
  <si>
    <t>1467428425</t>
  </si>
  <si>
    <t>Andrew Landis MD</t>
  </si>
  <si>
    <t>1316913338</t>
  </si>
  <si>
    <t>G Jay Bishop MD</t>
  </si>
  <si>
    <t>1073769725</t>
  </si>
  <si>
    <t>Maajid Peerzada MD</t>
  </si>
  <si>
    <t>1922002906</t>
  </si>
  <si>
    <t>Tariq Khan MD</t>
  </si>
  <si>
    <t>1871778308</t>
  </si>
  <si>
    <t>Marie Diaz MD</t>
  </si>
  <si>
    <t>1003881400</t>
  </si>
  <si>
    <t>Lorie Lashbrook MD</t>
  </si>
  <si>
    <t>1003884289</t>
  </si>
  <si>
    <t>Timothy Kitchen MD</t>
  </si>
  <si>
    <t>1083608418</t>
  </si>
  <si>
    <t>Matthew Wehr MD</t>
  </si>
  <si>
    <t>1942275441</t>
  </si>
  <si>
    <t>Timothy Gorman MD</t>
  </si>
  <si>
    <t>1487629515</t>
  </si>
  <si>
    <t>Gary Eggleston MD</t>
  </si>
  <si>
    <t>1407821986</t>
  </si>
  <si>
    <t>Donald Brautigam MD</t>
  </si>
  <si>
    <t>1487622148</t>
  </si>
  <si>
    <t>1366409906</t>
  </si>
  <si>
    <t>1619017191</t>
  </si>
  <si>
    <t>1053339622</t>
  </si>
  <si>
    <t>1275766651</t>
  </si>
  <si>
    <t>1255325650</t>
  </si>
  <si>
    <t>1275844540</t>
  </si>
  <si>
    <t>1134197650</t>
  </si>
  <si>
    <t>1528051596</t>
  </si>
  <si>
    <t>1275526246</t>
  </si>
  <si>
    <t>1245223437</t>
  </si>
  <si>
    <t>1053488247</t>
  </si>
  <si>
    <t>1174679880</t>
  </si>
  <si>
    <t>1881858702</t>
  </si>
  <si>
    <t>1578534368</t>
  </si>
  <si>
    <t>1538113873</t>
  </si>
  <si>
    <t>1538100755</t>
  </si>
  <si>
    <t>1174563191</t>
  </si>
  <si>
    <t>1952499204</t>
  </si>
  <si>
    <t>1548496847</t>
  </si>
  <si>
    <t>1376530105</t>
  </si>
  <si>
    <t>1467431429</t>
  </si>
  <si>
    <t>1568602209</t>
  </si>
  <si>
    <t>1700083276</t>
  </si>
  <si>
    <t>1043262827</t>
  </si>
  <si>
    <t>1063652972</t>
  </si>
  <si>
    <t>1518163419</t>
  </si>
  <si>
    <t>1952374050</t>
  </si>
  <si>
    <t>1013901412</t>
  </si>
  <si>
    <t>1962472787</t>
  </si>
  <si>
    <t>1003875691</t>
  </si>
  <si>
    <t>1043257462</t>
  </si>
  <si>
    <t>1790708626</t>
  </si>
  <si>
    <t>1346219847</t>
  </si>
  <si>
    <t>1598905390</t>
  </si>
  <si>
    <t>1134160872</t>
  </si>
  <si>
    <t>1144422296</t>
  </si>
  <si>
    <t>1003082215</t>
  </si>
  <si>
    <t>1265502546</t>
  </si>
  <si>
    <t>1760421655</t>
  </si>
  <si>
    <t>1861436701</t>
  </si>
  <si>
    <t>1265471619</t>
  </si>
  <si>
    <t>1396774675</t>
  </si>
  <si>
    <t>Antonio Roman MD</t>
  </si>
  <si>
    <t>1932142346</t>
  </si>
  <si>
    <t>1154360147</t>
  </si>
  <si>
    <t>1194762211</t>
  </si>
  <si>
    <t>1740222850</t>
  </si>
  <si>
    <t>1104869015</t>
  </si>
  <si>
    <t>1972573277</t>
  </si>
  <si>
    <t>1902849466</t>
  </si>
  <si>
    <t>1295777399</t>
  </si>
  <si>
    <t>1043286602</t>
  </si>
  <si>
    <t>Shakeel Ahmad MD</t>
  </si>
  <si>
    <t>1114369089</t>
  </si>
  <si>
    <t>Katie Ingerson PA-C</t>
  </si>
  <si>
    <t>1528345469</t>
  </si>
  <si>
    <t>Sarah Uebelhoer PA-C</t>
  </si>
  <si>
    <t>1285603548</t>
  </si>
  <si>
    <t>Michael Ludwig PA-C</t>
  </si>
  <si>
    <t>1124019948</t>
  </si>
  <si>
    <t>Jacquline Peterson,  PA-C</t>
  </si>
  <si>
    <t>1982695839</t>
  </si>
  <si>
    <t>Metivia Whitmore PA-C</t>
  </si>
  <si>
    <t>1144299827</t>
  </si>
  <si>
    <t>Wendy Chase PA-C</t>
  </si>
  <si>
    <t>1437140423</t>
  </si>
  <si>
    <t>Stephanie Redlecki PA-C</t>
  </si>
  <si>
    <t>1184615163</t>
  </si>
  <si>
    <t>Chad Chitester PA-C</t>
  </si>
  <si>
    <t>1346219656</t>
  </si>
  <si>
    <t>Roderic Hunt PA-C</t>
  </si>
  <si>
    <t>1417393927</t>
  </si>
  <si>
    <t>Susan Bentley PA</t>
  </si>
  <si>
    <t>1306157326</t>
  </si>
  <si>
    <t>Michele Cheslsey Gray PA</t>
  </si>
  <si>
    <t>1407841356</t>
  </si>
  <si>
    <t>Mary Rudloff PA</t>
  </si>
  <si>
    <t>1649580762</t>
  </si>
  <si>
    <t>Amanda Kindzia PA</t>
  </si>
  <si>
    <t>1356317341</t>
  </si>
  <si>
    <t>Beth Wlodarek PA</t>
  </si>
  <si>
    <t>1124337365</t>
  </si>
  <si>
    <t>Colleen Schwarz PA</t>
  </si>
  <si>
    <t>1336414796</t>
  </si>
  <si>
    <t>Lyndsey Marie Carlson PA</t>
  </si>
  <si>
    <t>1881884526</t>
  </si>
  <si>
    <t>Katie Marie Bell PA</t>
  </si>
  <si>
    <t>1093780025</t>
  </si>
  <si>
    <t>Natalie Pierce PA</t>
  </si>
  <si>
    <t>1487833117</t>
  </si>
  <si>
    <t>Sarah Cook PA</t>
  </si>
  <si>
    <t>1548315401</t>
  </si>
  <si>
    <t>00354518</t>
  </si>
  <si>
    <t>1063498889</t>
  </si>
  <si>
    <t>00354623</t>
  </si>
  <si>
    <t>1275553521</t>
  </si>
  <si>
    <t>00354150</t>
  </si>
  <si>
    <t>1770598104</t>
  </si>
  <si>
    <t>03001618</t>
  </si>
  <si>
    <t>1164464921</t>
  </si>
  <si>
    <t>00354412</t>
  </si>
  <si>
    <t>1043394745</t>
  </si>
  <si>
    <t>01746616</t>
  </si>
  <si>
    <t>1790727543</t>
  </si>
  <si>
    <t>03001705</t>
  </si>
  <si>
    <t>1962596718</t>
  </si>
  <si>
    <t>02998227</t>
  </si>
  <si>
    <t>1043387152</t>
  </si>
  <si>
    <t>02993786</t>
  </si>
  <si>
    <t>1962684316</t>
  </si>
  <si>
    <t>01143599</t>
  </si>
  <si>
    <t>1588819791</t>
  </si>
  <si>
    <t>03079912</t>
  </si>
  <si>
    <t>Other (Local Government Unit)</t>
  </si>
  <si>
    <t>Rural AHEC</t>
  </si>
  <si>
    <t>P2 Collaborative</t>
  </si>
  <si>
    <t>Community  Health Worker</t>
  </si>
  <si>
    <t>Erie County Council for Prevention of Alcohol</t>
  </si>
  <si>
    <t>WNY Untited Against Drug and Alcohol Abuse</t>
  </si>
  <si>
    <t>1639255250</t>
  </si>
  <si>
    <t>1447241088</t>
  </si>
  <si>
    <t>1477652113</t>
  </si>
  <si>
    <t>Catholic Medical Partners - Clinical Transformation</t>
  </si>
  <si>
    <t>Catholic Medical Partners - Care Transition</t>
  </si>
  <si>
    <t>Catholic Health System - Care Transition</t>
  </si>
  <si>
    <t>Catholic Health System - ED Triage</t>
  </si>
  <si>
    <t>Chautauqua Alcohol and Substance Abuse</t>
  </si>
  <si>
    <t>Clinic:: Hospital:: Pharmacy</t>
  </si>
  <si>
    <t>Clinic:: Hospital:: Mental Health:: Substance Abuse</t>
  </si>
  <si>
    <t>Clinic:: Hospital</t>
  </si>
  <si>
    <t>Clinic:: Hospital:: Substance Abuse</t>
  </si>
  <si>
    <t>Clinic:: Hospital:: Pharmacy:: Substance Abuse</t>
  </si>
  <si>
    <t>Case Management / Health Home:: Mental Health:: Substance Abuse</t>
  </si>
  <si>
    <t>Case Management / Health Home:: Clinic:: Mental Health:: Substance Abuse</t>
  </si>
  <si>
    <t>Y</t>
  </si>
  <si>
    <t>Western New York Independent Living</t>
  </si>
  <si>
    <t>Housing Options Made Easy</t>
  </si>
  <si>
    <t>Native American Community</t>
  </si>
  <si>
    <t>DY3, Q1 Funds Flow  Update</t>
  </si>
  <si>
    <t>Quarterly Funds Flow Updates - DY3, Q1</t>
  </si>
  <si>
    <t>Quarterly Funds Flow Update - DY3, Q1</t>
  </si>
  <si>
    <t>Robert Roche DO</t>
  </si>
  <si>
    <t>Stephen Murak MD</t>
  </si>
  <si>
    <t>Cynthia Carlson FNP</t>
  </si>
  <si>
    <t>Peggy Kestler FNP</t>
  </si>
  <si>
    <t>Lisa Erickson FNP</t>
  </si>
  <si>
    <t>Barbara Robinson NP</t>
  </si>
  <si>
    <t>Trisha Lindstrom CPNP</t>
  </si>
  <si>
    <t>Allison Johhnson NP</t>
  </si>
  <si>
    <t>Donalyn Franze CPNP</t>
  </si>
  <si>
    <t>Debra Daniels NP</t>
  </si>
  <si>
    <t>Evelyn Ouellette NP</t>
  </si>
  <si>
    <t>Kathleen Glass NP</t>
  </si>
  <si>
    <t>Amy Rebecca Beach NP</t>
  </si>
  <si>
    <t>Susan Mackowiak ANP</t>
  </si>
  <si>
    <t>Krista Przybelinski NP</t>
  </si>
  <si>
    <t>Susan Murawski FNP</t>
  </si>
  <si>
    <t>Kirstin Gleason FNP</t>
  </si>
  <si>
    <t>00765962</t>
  </si>
  <si>
    <t>03264651</t>
  </si>
  <si>
    <t>01476677</t>
  </si>
  <si>
    <t>01397951</t>
  </si>
  <si>
    <t>00989919</t>
  </si>
  <si>
    <t>01188738</t>
  </si>
  <si>
    <t>02832268</t>
  </si>
  <si>
    <t>02621901</t>
  </si>
  <si>
    <t>03486399</t>
  </si>
  <si>
    <t>00711133</t>
  </si>
  <si>
    <t>01530221</t>
  </si>
  <si>
    <t>00832444</t>
  </si>
  <si>
    <t>02775235</t>
  </si>
  <si>
    <t>02298800</t>
  </si>
  <si>
    <t>03645750</t>
  </si>
  <si>
    <t>01478211</t>
  </si>
  <si>
    <t>01660700</t>
  </si>
  <si>
    <t>03351773</t>
  </si>
  <si>
    <t>02893401</t>
  </si>
  <si>
    <t>02273201</t>
  </si>
  <si>
    <t>03351159</t>
  </si>
  <si>
    <t>02899690</t>
  </si>
  <si>
    <t>02496371</t>
  </si>
  <si>
    <t>01139679</t>
  </si>
  <si>
    <t>01586281</t>
  </si>
  <si>
    <t>01341620</t>
  </si>
  <si>
    <t>02413041</t>
  </si>
  <si>
    <t>01768914</t>
  </si>
  <si>
    <t>01169933</t>
  </si>
  <si>
    <t>03140810</t>
  </si>
  <si>
    <t>01020002</t>
  </si>
  <si>
    <t>02887805</t>
  </si>
  <si>
    <t>03419207</t>
  </si>
  <si>
    <t>01872999</t>
  </si>
  <si>
    <t>01613065</t>
  </si>
  <si>
    <t>03736972</t>
  </si>
  <si>
    <t>03406177</t>
  </si>
  <si>
    <t>02311080</t>
  </si>
  <si>
    <t>02342107</t>
  </si>
  <si>
    <t>03163022</t>
  </si>
  <si>
    <t>01467761</t>
  </si>
  <si>
    <t>02651650</t>
  </si>
  <si>
    <t>02342092</t>
  </si>
  <si>
    <t>01274428</t>
  </si>
  <si>
    <t>02360098</t>
  </si>
  <si>
    <t>01658548</t>
  </si>
  <si>
    <t>00709595</t>
  </si>
  <si>
    <t>03382441</t>
  </si>
  <si>
    <t>01318749</t>
  </si>
  <si>
    <t>00773937</t>
  </si>
  <si>
    <t>02360112</t>
  </si>
  <si>
    <t>01475745</t>
  </si>
  <si>
    <t>00593779</t>
  </si>
  <si>
    <t>01977320</t>
  </si>
  <si>
    <t>03338612</t>
  </si>
  <si>
    <t>02157940</t>
  </si>
  <si>
    <t>01444673</t>
  </si>
  <si>
    <t>03706407</t>
  </si>
  <si>
    <t>03462920</t>
  </si>
  <si>
    <t>02518789</t>
  </si>
  <si>
    <t>03768265</t>
  </si>
  <si>
    <t>03738823</t>
  </si>
  <si>
    <t>03738869</t>
  </si>
  <si>
    <t>03738841</t>
  </si>
  <si>
    <t>03142972</t>
  </si>
  <si>
    <t>03518816</t>
  </si>
  <si>
    <t>03109428</t>
  </si>
  <si>
    <t>02153579</t>
  </si>
  <si>
    <t>02960736</t>
  </si>
  <si>
    <t>03038671</t>
  </si>
  <si>
    <t>00725315</t>
  </si>
  <si>
    <t>01771273</t>
  </si>
  <si>
    <t>03013590</t>
  </si>
  <si>
    <t>01843374</t>
  </si>
  <si>
    <t>01885203</t>
  </si>
  <si>
    <t>01191877</t>
  </si>
  <si>
    <t>01075516</t>
  </si>
  <si>
    <t>01070671</t>
  </si>
  <si>
    <t>03166401</t>
  </si>
  <si>
    <t>01202217</t>
  </si>
  <si>
    <t>00604953</t>
  </si>
  <si>
    <t>02675872</t>
  </si>
  <si>
    <t>02273123</t>
  </si>
  <si>
    <t>03276428</t>
  </si>
  <si>
    <t>01086382</t>
  </si>
  <si>
    <t>01842699</t>
  </si>
  <si>
    <t>01982223</t>
  </si>
  <si>
    <t>02396665</t>
  </si>
  <si>
    <t>02611705</t>
  </si>
  <si>
    <t>00592003</t>
  </si>
  <si>
    <t>02166287</t>
  </si>
  <si>
    <t>01590849</t>
  </si>
  <si>
    <t>01092020</t>
  </si>
  <si>
    <t>01132874</t>
  </si>
  <si>
    <t>02836446</t>
  </si>
  <si>
    <t>02505246</t>
  </si>
  <si>
    <t>01833590</t>
  </si>
  <si>
    <t>01885143</t>
  </si>
  <si>
    <t>01856573</t>
  </si>
  <si>
    <t>00758347</t>
  </si>
  <si>
    <t>01597039</t>
  </si>
  <si>
    <t>01086424</t>
  </si>
  <si>
    <t>01091661</t>
  </si>
  <si>
    <t>01787315</t>
  </si>
  <si>
    <t>01538958</t>
  </si>
  <si>
    <t>01074693</t>
  </si>
  <si>
    <t>00764392</t>
  </si>
  <si>
    <t>02560763</t>
  </si>
  <si>
    <t>01151248</t>
  </si>
  <si>
    <t>02082593</t>
  </si>
  <si>
    <t>01744921</t>
  </si>
  <si>
    <t>01295587</t>
  </si>
  <si>
    <t>01331722</t>
  </si>
  <si>
    <t>00647470</t>
  </si>
  <si>
    <t>01458795</t>
  </si>
  <si>
    <t>01250875</t>
  </si>
  <si>
    <t>03244144</t>
  </si>
  <si>
    <t>00898233</t>
  </si>
  <si>
    <t>01355022</t>
  </si>
  <si>
    <t>00925773</t>
  </si>
  <si>
    <t>01112963</t>
  </si>
  <si>
    <t>00756785</t>
  </si>
  <si>
    <t>01771631</t>
  </si>
  <si>
    <t>01477605</t>
  </si>
  <si>
    <t>01505182</t>
  </si>
  <si>
    <t>02411594</t>
  </si>
  <si>
    <t>01352592</t>
  </si>
  <si>
    <t>02987662</t>
  </si>
  <si>
    <t>01843136</t>
  </si>
  <si>
    <t>01343508</t>
  </si>
  <si>
    <t>01140472</t>
  </si>
  <si>
    <t>01398705</t>
  </si>
  <si>
    <t>03154056</t>
  </si>
  <si>
    <t>00602828</t>
  </si>
  <si>
    <t>01013670</t>
  </si>
  <si>
    <t>02574798</t>
  </si>
  <si>
    <t>01842924</t>
  </si>
  <si>
    <t>02505493</t>
  </si>
  <si>
    <t>02697432</t>
  </si>
  <si>
    <t>03455236</t>
  </si>
  <si>
    <t>03184287</t>
  </si>
  <si>
    <t>01538921</t>
  </si>
  <si>
    <t>01276686</t>
  </si>
  <si>
    <t>01642020</t>
  </si>
  <si>
    <t>01703924</t>
  </si>
  <si>
    <t>02107573</t>
  </si>
  <si>
    <t>01136070</t>
  </si>
  <si>
    <t>01367028</t>
  </si>
  <si>
    <t>01688288</t>
  </si>
  <si>
    <t>01843310</t>
  </si>
  <si>
    <t>00885218</t>
  </si>
  <si>
    <t>02256173</t>
  </si>
  <si>
    <t>01747020</t>
  </si>
  <si>
    <t>03480999</t>
  </si>
  <si>
    <t>02273274</t>
  </si>
  <si>
    <t>01816673</t>
  </si>
  <si>
    <t>01991226</t>
  </si>
  <si>
    <t>02273036</t>
  </si>
  <si>
    <t>03785453</t>
  </si>
  <si>
    <t>01052120</t>
  </si>
  <si>
    <t>00806973</t>
  </si>
  <si>
    <t>02461392</t>
  </si>
  <si>
    <t>01505206</t>
  </si>
  <si>
    <t>02109713</t>
  </si>
  <si>
    <t>02273283</t>
  </si>
  <si>
    <t>01051481</t>
  </si>
  <si>
    <t>02080115</t>
  </si>
  <si>
    <t>01874813</t>
  </si>
  <si>
    <t>01918950</t>
  </si>
  <si>
    <t>00887027</t>
  </si>
  <si>
    <t>01358974</t>
  </si>
  <si>
    <t>01842800</t>
  </si>
  <si>
    <t>02273045</t>
  </si>
  <si>
    <t>01716774</t>
  </si>
  <si>
    <t>00877569</t>
  </si>
  <si>
    <t>01843067</t>
  </si>
  <si>
    <t>01632562</t>
  </si>
  <si>
    <t>02007743</t>
  </si>
  <si>
    <t>00959462</t>
  </si>
  <si>
    <t>01357060</t>
  </si>
  <si>
    <t>02962054</t>
  </si>
  <si>
    <t>01548690</t>
  </si>
  <si>
    <t>01029556</t>
  </si>
  <si>
    <t>01843347</t>
  </si>
  <si>
    <t>02876713</t>
  </si>
  <si>
    <t>03476597</t>
  </si>
  <si>
    <t>02147780</t>
  </si>
  <si>
    <t>01830322</t>
  </si>
  <si>
    <t>01988581</t>
  </si>
  <si>
    <t>01885189</t>
  </si>
  <si>
    <t>01300870</t>
  </si>
  <si>
    <t>00973111</t>
  </si>
  <si>
    <t>01843085</t>
  </si>
  <si>
    <t>01018524</t>
  </si>
  <si>
    <t>01781759</t>
  </si>
  <si>
    <t>02479505</t>
  </si>
  <si>
    <t>01683783</t>
  </si>
  <si>
    <t>02273178</t>
  </si>
  <si>
    <t>01541620</t>
  </si>
  <si>
    <t>01114290</t>
  </si>
  <si>
    <t>01617481</t>
  </si>
  <si>
    <t>02882837</t>
  </si>
  <si>
    <t>03265583</t>
  </si>
  <si>
    <t>01619612</t>
  </si>
  <si>
    <t>02176781</t>
  </si>
  <si>
    <t>01665021</t>
  </si>
  <si>
    <t>01781593</t>
  </si>
  <si>
    <t>01827458</t>
  </si>
  <si>
    <t>03988070</t>
  </si>
  <si>
    <t>00886402</t>
  </si>
  <si>
    <t>00963722</t>
  </si>
  <si>
    <t>00862042</t>
  </si>
  <si>
    <t>01083912</t>
  </si>
  <si>
    <t>02564432</t>
  </si>
  <si>
    <t>01283292</t>
  </si>
  <si>
    <t>01789519</t>
  </si>
  <si>
    <t>00586883</t>
  </si>
  <si>
    <t>02161773</t>
  </si>
  <si>
    <t>01842671</t>
  </si>
  <si>
    <t>00626664</t>
  </si>
  <si>
    <t>02273132</t>
  </si>
  <si>
    <t>02566190</t>
  </si>
  <si>
    <t>00928890</t>
  </si>
  <si>
    <t>01843154</t>
  </si>
  <si>
    <t>03030384</t>
  </si>
  <si>
    <t>01772045</t>
  </si>
  <si>
    <t>01246611</t>
  </si>
  <si>
    <t>01528270</t>
  </si>
  <si>
    <t>01902074</t>
  </si>
  <si>
    <t>1053429829</t>
  </si>
  <si>
    <t>02050080</t>
  </si>
  <si>
    <t>03247270</t>
  </si>
  <si>
    <t>00723491</t>
  </si>
  <si>
    <t>02775928</t>
  </si>
  <si>
    <t>01958516</t>
  </si>
  <si>
    <t>01816999</t>
  </si>
  <si>
    <t>03171208</t>
  </si>
  <si>
    <t>03267269</t>
  </si>
  <si>
    <t>02275670</t>
  </si>
  <si>
    <t>03374256</t>
  </si>
  <si>
    <t>00721926</t>
  </si>
  <si>
    <t>01950834</t>
  </si>
  <si>
    <t>02654231</t>
  </si>
  <si>
    <t>02280239</t>
  </si>
  <si>
    <t>02710685</t>
  </si>
  <si>
    <t>02438851</t>
  </si>
  <si>
    <t>02166012</t>
  </si>
  <si>
    <t>01671232</t>
  </si>
  <si>
    <t>02342065</t>
  </si>
  <si>
    <t>02690682</t>
  </si>
  <si>
    <t>03735173</t>
  </si>
  <si>
    <t>01255256</t>
  </si>
  <si>
    <t>01965026</t>
  </si>
  <si>
    <t>00722330</t>
  </si>
  <si>
    <t>02637929</t>
  </si>
  <si>
    <t>01213372</t>
  </si>
  <si>
    <t>01033210</t>
  </si>
  <si>
    <t>01358570</t>
  </si>
  <si>
    <t>01358552</t>
  </si>
  <si>
    <t>03635765</t>
  </si>
  <si>
    <t>03437432</t>
  </si>
  <si>
    <t>02946110</t>
  </si>
  <si>
    <t>01576076</t>
  </si>
  <si>
    <t>01088522</t>
  </si>
  <si>
    <t>03823907</t>
  </si>
  <si>
    <t>02212504</t>
  </si>
  <si>
    <t>01227641</t>
  </si>
  <si>
    <t>01413854</t>
  </si>
  <si>
    <t>01289174</t>
  </si>
  <si>
    <t>03388658</t>
  </si>
  <si>
    <t>01664951</t>
  </si>
  <si>
    <t>02936767</t>
  </si>
  <si>
    <t>01568501</t>
  </si>
  <si>
    <t>02586029</t>
  </si>
  <si>
    <t>01387062</t>
  </si>
  <si>
    <t>02976387</t>
  </si>
  <si>
    <t>01032475</t>
  </si>
  <si>
    <t>00722069</t>
  </si>
  <si>
    <t>02937988</t>
  </si>
  <si>
    <t>03716887</t>
  </si>
  <si>
    <t>00632013</t>
  </si>
  <si>
    <t>01877825</t>
  </si>
  <si>
    <t>03923140</t>
  </si>
  <si>
    <t>02227269</t>
  </si>
  <si>
    <t>00681874</t>
  </si>
  <si>
    <t>00889592</t>
  </si>
  <si>
    <t>Lakeshore Behavioral Health</t>
  </si>
  <si>
    <t>Jay Bolnick MD</t>
  </si>
  <si>
    <t>Northpointe Council</t>
  </si>
  <si>
    <t>Hope Treatment &amp; Counseling</t>
  </si>
  <si>
    <t>Catholic Health System</t>
  </si>
  <si>
    <t>Compeer</t>
  </si>
  <si>
    <t>PPS Funds Flow Summary by Partner Type - DY3, Q1 (IPP Module 1.4 and Module 1.10)</t>
  </si>
  <si>
    <t>PPS Partner Engagement by Project As Of DY3Q1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</si>
</sst>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/>
    <xf numFmtId="0" fontId="0" fillId="0" borderId="0" xfId="0" applyAlignment="1">
      <alignment wrapText="1"/>
    </xf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43" fontId="0" fillId="0" borderId="1" xfId="3" applyFont="1" applyBorder="1"/>
    <xf numFmtId="0" fontId="0" fillId="0" borderId="1" xfId="0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Protection="1"/>
    <xf numFmtId="164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" sqref="A2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11829</v>
      </c>
    </row>
    <row r="3" spans="1:9" x14ac:dyDescent="0.25">
      <c r="A3" s="34" t="s">
        <v>8</v>
      </c>
      <c r="B3" s="9"/>
      <c r="C3" s="33" t="s">
        <v>11519</v>
      </c>
      <c r="D3" s="33"/>
      <c r="E3" s="33"/>
      <c r="F3" s="33"/>
      <c r="G3" s="33"/>
      <c r="H3" s="33"/>
      <c r="I3" s="33"/>
    </row>
    <row r="4" spans="1:9" ht="60" x14ac:dyDescent="0.25">
      <c r="A4" s="34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v>0</v>
      </c>
      <c r="D5" s="5">
        <v>0</v>
      </c>
      <c r="E5" s="5">
        <v>0</v>
      </c>
      <c r="F5" s="9"/>
      <c r="G5" s="6">
        <v>0</v>
      </c>
      <c r="H5" s="6">
        <v>0</v>
      </c>
      <c r="I5" s="6">
        <v>0</v>
      </c>
    </row>
    <row r="6" spans="1:9" x14ac:dyDescent="0.25">
      <c r="A6" s="2" t="s">
        <v>5</v>
      </c>
      <c r="B6" s="9"/>
      <c r="C6" s="5">
        <v>0</v>
      </c>
      <c r="D6" s="5">
        <v>0</v>
      </c>
      <c r="E6" s="5">
        <v>0</v>
      </c>
      <c r="F6" s="9"/>
      <c r="G6" s="6">
        <v>0</v>
      </c>
      <c r="H6" s="6">
        <v>0</v>
      </c>
      <c r="I6" s="6">
        <v>0</v>
      </c>
    </row>
    <row r="7" spans="1:9" x14ac:dyDescent="0.25">
      <c r="A7" s="2" t="s">
        <v>6</v>
      </c>
      <c r="B7" s="9"/>
      <c r="C7" s="5">
        <v>0</v>
      </c>
      <c r="D7" s="5">
        <v>0</v>
      </c>
      <c r="E7" s="5">
        <v>0</v>
      </c>
      <c r="F7" s="9"/>
      <c r="G7" s="6">
        <v>0</v>
      </c>
      <c r="H7" s="6">
        <v>0</v>
      </c>
      <c r="I7" s="6">
        <v>0</v>
      </c>
    </row>
    <row r="8" spans="1:9" x14ac:dyDescent="0.25">
      <c r="A8" s="2" t="s">
        <v>7</v>
      </c>
      <c r="B8" s="9"/>
      <c r="C8" s="5">
        <v>0</v>
      </c>
      <c r="D8" s="5">
        <v>0</v>
      </c>
      <c r="E8" s="5">
        <v>0</v>
      </c>
      <c r="F8" s="9"/>
      <c r="G8" s="6">
        <v>0</v>
      </c>
      <c r="H8" s="6">
        <v>0</v>
      </c>
      <c r="I8" s="6">
        <v>0</v>
      </c>
    </row>
    <row r="9" spans="1:9" x14ac:dyDescent="0.25">
      <c r="A9" s="2" t="s">
        <v>9</v>
      </c>
      <c r="B9" s="9"/>
      <c r="C9" s="5">
        <v>0</v>
      </c>
      <c r="D9" s="5">
        <v>0</v>
      </c>
      <c r="E9" s="5">
        <v>0</v>
      </c>
      <c r="F9" s="9"/>
      <c r="G9" s="6">
        <v>0</v>
      </c>
      <c r="H9" s="6">
        <v>0</v>
      </c>
      <c r="I9" s="6">
        <v>0</v>
      </c>
    </row>
    <row r="10" spans="1:9" x14ac:dyDescent="0.25">
      <c r="A10" s="2" t="s">
        <v>10</v>
      </c>
      <c r="B10" s="9"/>
      <c r="C10" s="5">
        <v>0</v>
      </c>
      <c r="D10" s="5">
        <v>0</v>
      </c>
      <c r="E10" s="5">
        <v>0</v>
      </c>
      <c r="F10" s="9"/>
      <c r="G10" s="6">
        <v>0</v>
      </c>
      <c r="H10" s="6">
        <v>0</v>
      </c>
      <c r="I10" s="6">
        <v>0</v>
      </c>
    </row>
    <row r="11" spans="1:9" x14ac:dyDescent="0.25">
      <c r="A11" s="2" t="s">
        <v>11</v>
      </c>
      <c r="B11" s="9"/>
      <c r="C11" s="5">
        <v>0</v>
      </c>
      <c r="D11" s="5">
        <v>0</v>
      </c>
      <c r="E11" s="5">
        <v>0</v>
      </c>
      <c r="F11" s="9"/>
      <c r="G11" s="6">
        <v>0</v>
      </c>
      <c r="H11" s="6">
        <v>0</v>
      </c>
      <c r="I11" s="6">
        <v>0</v>
      </c>
    </row>
    <row r="12" spans="1:9" x14ac:dyDescent="0.25">
      <c r="A12" s="2" t="s">
        <v>12</v>
      </c>
      <c r="B12" s="9"/>
      <c r="C12" s="5">
        <v>0</v>
      </c>
      <c r="D12" s="5">
        <v>0</v>
      </c>
      <c r="E12" s="5">
        <v>0</v>
      </c>
      <c r="F12" s="9"/>
      <c r="G12" s="6">
        <v>0</v>
      </c>
      <c r="H12" s="6">
        <v>0</v>
      </c>
      <c r="I12" s="6">
        <v>0</v>
      </c>
    </row>
    <row r="13" spans="1:9" x14ac:dyDescent="0.25">
      <c r="A13" s="2" t="s">
        <v>13</v>
      </c>
      <c r="B13" s="9"/>
      <c r="C13" s="5">
        <v>0</v>
      </c>
      <c r="D13" s="5">
        <v>0</v>
      </c>
      <c r="E13" s="5">
        <v>0</v>
      </c>
      <c r="F13" s="9"/>
      <c r="G13" s="6">
        <v>0</v>
      </c>
      <c r="H13" s="6">
        <v>0</v>
      </c>
      <c r="I13" s="6">
        <v>0</v>
      </c>
    </row>
    <row r="14" spans="1:9" x14ac:dyDescent="0.25">
      <c r="A14" s="2" t="s">
        <v>14</v>
      </c>
      <c r="B14" s="9"/>
      <c r="C14" s="5">
        <v>754091.56980000017</v>
      </c>
      <c r="D14" s="5">
        <v>760148.53020000004</v>
      </c>
      <c r="E14" s="5">
        <f>+C14+D14</f>
        <v>1514240.1</v>
      </c>
      <c r="F14" s="9"/>
      <c r="G14" s="6">
        <v>0.87783226989273699</v>
      </c>
      <c r="H14" s="6">
        <v>0.87783226989273699</v>
      </c>
      <c r="I14" s="6">
        <v>0.87783226989273688</v>
      </c>
    </row>
    <row r="15" spans="1:9" x14ac:dyDescent="0.25">
      <c r="A15" s="2" t="s">
        <v>15</v>
      </c>
      <c r="B15" s="9"/>
      <c r="C15" s="5">
        <v>0</v>
      </c>
      <c r="D15" s="5">
        <v>0</v>
      </c>
      <c r="E15" s="5">
        <v>0</v>
      </c>
      <c r="F15" s="9"/>
      <c r="G15" s="6">
        <v>0</v>
      </c>
      <c r="H15" s="6">
        <v>0</v>
      </c>
      <c r="I15" s="6">
        <v>0</v>
      </c>
    </row>
    <row r="16" spans="1:9" x14ac:dyDescent="0.25">
      <c r="A16" s="2" t="s">
        <v>16</v>
      </c>
      <c r="B16" s="9"/>
      <c r="C16" s="5">
        <v>0</v>
      </c>
      <c r="D16" s="5">
        <v>0</v>
      </c>
      <c r="E16" s="5">
        <v>0</v>
      </c>
      <c r="F16" s="9"/>
      <c r="G16" s="6">
        <v>0</v>
      </c>
      <c r="H16" s="6">
        <v>0</v>
      </c>
      <c r="I16" s="6">
        <v>0</v>
      </c>
    </row>
    <row r="17" spans="1:9" x14ac:dyDescent="0.25">
      <c r="A17" s="2" t="s">
        <v>17</v>
      </c>
      <c r="B17" s="9"/>
      <c r="C17" s="5">
        <v>0</v>
      </c>
      <c r="D17" s="5">
        <v>0</v>
      </c>
      <c r="E17" s="5">
        <v>0</v>
      </c>
      <c r="F17" s="9"/>
      <c r="G17" s="6">
        <v>0</v>
      </c>
      <c r="H17" s="6">
        <v>0</v>
      </c>
      <c r="I17" s="6">
        <v>0</v>
      </c>
    </row>
    <row r="18" spans="1:9" x14ac:dyDescent="0.25">
      <c r="A18" s="2" t="s">
        <v>18</v>
      </c>
      <c r="B18" s="9"/>
      <c r="C18" s="5">
        <v>0</v>
      </c>
      <c r="D18" s="5">
        <v>0</v>
      </c>
      <c r="E18" s="5">
        <v>0</v>
      </c>
      <c r="F18" s="9"/>
      <c r="G18" s="6">
        <v>0</v>
      </c>
      <c r="H18" s="6">
        <v>0</v>
      </c>
      <c r="I18" s="6">
        <v>0</v>
      </c>
    </row>
    <row r="19" spans="1:9" x14ac:dyDescent="0.25">
      <c r="A19" s="2" t="s">
        <v>21</v>
      </c>
      <c r="B19" s="9"/>
      <c r="C19" s="5">
        <v>204540.85079999996</v>
      </c>
      <c r="D19" s="5">
        <v>206183.74919999996</v>
      </c>
      <c r="E19" s="5">
        <f>+C19+D19</f>
        <v>410724.59999999992</v>
      </c>
      <c r="F19" s="9"/>
      <c r="G19" s="6">
        <v>0.12216773010726305</v>
      </c>
      <c r="H19" s="6">
        <v>0.12216773010726305</v>
      </c>
      <c r="I19" s="6">
        <v>0.12216773010726305</v>
      </c>
    </row>
    <row r="20" spans="1:9" x14ac:dyDescent="0.25">
      <c r="A20" s="2" t="s">
        <v>148</v>
      </c>
      <c r="B20" s="9"/>
      <c r="C20" s="5">
        <v>0</v>
      </c>
      <c r="D20" s="5">
        <v>0</v>
      </c>
      <c r="E20" s="5">
        <v>0</v>
      </c>
      <c r="F20" s="9"/>
      <c r="G20" s="6">
        <v>0</v>
      </c>
      <c r="H20" s="6">
        <v>0</v>
      </c>
      <c r="I20" s="6">
        <v>0</v>
      </c>
    </row>
    <row r="21" spans="1:9" x14ac:dyDescent="0.25">
      <c r="A21" s="2" t="s">
        <v>19</v>
      </c>
      <c r="B21" s="9"/>
      <c r="C21" s="5">
        <v>0</v>
      </c>
      <c r="D21" s="5">
        <v>0</v>
      </c>
      <c r="E21" s="5">
        <v>0</v>
      </c>
      <c r="F21" s="9"/>
      <c r="G21" s="6">
        <v>0</v>
      </c>
      <c r="H21" s="6">
        <v>0</v>
      </c>
      <c r="I21" s="6">
        <v>0</v>
      </c>
    </row>
    <row r="22" spans="1:9" x14ac:dyDescent="0.25">
      <c r="A22" s="2" t="s">
        <v>19</v>
      </c>
      <c r="B22" s="9"/>
      <c r="C22" s="5">
        <v>0</v>
      </c>
      <c r="D22" s="5">
        <v>0</v>
      </c>
      <c r="E22" s="5">
        <v>0</v>
      </c>
      <c r="F22" s="9"/>
      <c r="G22" s="6">
        <v>0</v>
      </c>
      <c r="H22" s="6">
        <v>0</v>
      </c>
      <c r="I22" s="6">
        <v>0</v>
      </c>
    </row>
    <row r="23" spans="1:9" x14ac:dyDescent="0.25">
      <c r="A23" s="2" t="s">
        <v>19</v>
      </c>
      <c r="B23" s="9"/>
      <c r="C23" s="5">
        <v>0</v>
      </c>
      <c r="D23" s="5">
        <v>0</v>
      </c>
      <c r="E23" s="5">
        <v>0</v>
      </c>
      <c r="F23" s="9"/>
      <c r="G23" s="6">
        <v>0</v>
      </c>
      <c r="H23" s="6">
        <v>0</v>
      </c>
      <c r="I23" s="6">
        <v>0</v>
      </c>
    </row>
    <row r="24" spans="1:9" x14ac:dyDescent="0.25">
      <c r="A24" s="3" t="s">
        <v>20</v>
      </c>
      <c r="B24" s="9"/>
      <c r="C24" s="7">
        <f>SUM(C5:C23)</f>
        <v>958632.42060000007</v>
      </c>
      <c r="D24" s="7">
        <f t="shared" ref="D24:E24" si="0">SUM(D5:D23)</f>
        <v>966332.2794</v>
      </c>
      <c r="E24" s="7">
        <f t="shared" si="0"/>
        <v>1924964.7</v>
      </c>
      <c r="F24" s="9"/>
      <c r="G24" s="8">
        <v>1</v>
      </c>
      <c r="H24" s="8">
        <v>1</v>
      </c>
      <c r="I24" s="8">
        <v>0.99999999999999989</v>
      </c>
    </row>
    <row r="27" spans="1:9" x14ac:dyDescent="0.25">
      <c r="E27" s="31"/>
    </row>
    <row r="28" spans="1:9" x14ac:dyDescent="0.25">
      <c r="E28" s="32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23.85546875" bestFit="1" customWidth="1"/>
    <col min="5" max="5" width="13.42578125" customWidth="1"/>
    <col min="6" max="6" width="29.28515625" bestFit="1" customWidth="1"/>
    <col min="7" max="7" width="1.28515625" customWidth="1"/>
    <col min="8" max="10" width="14.28515625" bestFit="1" customWidth="1"/>
  </cols>
  <sheetData>
    <row r="1" spans="1:10" x14ac:dyDescent="0.25">
      <c r="A1" s="1" t="s">
        <v>36</v>
      </c>
    </row>
    <row r="3" spans="1:10" x14ac:dyDescent="0.25">
      <c r="A3" s="2"/>
      <c r="B3" s="35" t="s">
        <v>28</v>
      </c>
      <c r="C3" s="36"/>
      <c r="D3" s="36"/>
      <c r="E3" s="36"/>
      <c r="F3" s="38"/>
      <c r="G3" s="2"/>
      <c r="H3" s="35" t="s">
        <v>11518</v>
      </c>
      <c r="I3" s="36"/>
      <c r="J3" s="38"/>
    </row>
    <row r="4" spans="1:10" ht="45" x14ac:dyDescent="0.25">
      <c r="A4" s="4"/>
      <c r="B4" s="4" t="s">
        <v>25</v>
      </c>
      <c r="C4" s="11" t="s">
        <v>41</v>
      </c>
      <c r="D4" s="4" t="s">
        <v>11116</v>
      </c>
      <c r="E4" s="4" t="s">
        <v>26</v>
      </c>
      <c r="F4" s="4" t="s">
        <v>27</v>
      </c>
      <c r="G4" s="2"/>
      <c r="H4" s="4" t="s">
        <v>0</v>
      </c>
      <c r="I4" s="4" t="s">
        <v>1</v>
      </c>
      <c r="J4" s="4" t="s">
        <v>2</v>
      </c>
    </row>
    <row r="5" spans="1:10" x14ac:dyDescent="0.25">
      <c r="A5" s="37" t="s">
        <v>4</v>
      </c>
      <c r="B5" s="2"/>
      <c r="C5" s="2"/>
      <c r="D5" s="12" t="str">
        <f>_xlfn.IFNA(VLOOKUP($B5,'CPWNY Perf Network 032017'!$A$2:$AI$2197,18,FALSE),"")</f>
        <v/>
      </c>
      <c r="E5" s="12" t="str">
        <f>_xlfn.IFNA(VLOOKUP($B5,'CPWNY Perf Network 032017'!$A$2:$AI$2197,13,FALSE),"")</f>
        <v/>
      </c>
      <c r="F5" s="12" t="str">
        <f>_xlfn.IFNA(VLOOKUP($B5,'CPWNY Perf Network 032017'!$A$2:$AI$2197,12,FALSE),"")</f>
        <v/>
      </c>
      <c r="G5" s="2"/>
      <c r="H5" s="2"/>
      <c r="I5" s="2"/>
      <c r="J5" s="5">
        <f>H5+I5</f>
        <v>0</v>
      </c>
    </row>
    <row r="6" spans="1:10" x14ac:dyDescent="0.25">
      <c r="A6" s="37"/>
      <c r="B6" s="2"/>
      <c r="C6" s="2"/>
      <c r="D6" s="12" t="str">
        <f>_xlfn.IFNA(VLOOKUP($B6,'CPWNY Perf Network 032017'!$A$2:$AI$2197,18,FALSE),"")</f>
        <v/>
      </c>
      <c r="E6" s="12" t="str">
        <f>_xlfn.IFNA(VLOOKUP($B6,'CPWNY Perf Network 032017'!$A$2:$AI$2197,13,FALSE),"")</f>
        <v/>
      </c>
      <c r="F6" s="12" t="str">
        <f>_xlfn.IFNA(VLOOKUP($B6,'CPWNY Perf Network 032017'!$A$2:$AI$2197,12,FALSE),"")</f>
        <v/>
      </c>
      <c r="G6" s="2"/>
      <c r="H6" s="2"/>
      <c r="I6" s="2"/>
      <c r="J6" s="5">
        <f t="shared" ref="J6:J10" si="0">H6+I6</f>
        <v>0</v>
      </c>
    </row>
    <row r="7" spans="1:10" x14ac:dyDescent="0.25">
      <c r="A7" s="37"/>
      <c r="B7" s="2"/>
      <c r="C7" s="2"/>
      <c r="D7" s="12" t="str">
        <f>_xlfn.IFNA(VLOOKUP($B7,'CPWNY Perf Network 032017'!$A$2:$AI$2197,18,FALSE),"")</f>
        <v/>
      </c>
      <c r="E7" s="12" t="str">
        <f>_xlfn.IFNA(VLOOKUP($B7,'CPWNY Perf Network 032017'!$A$2:$AI$2197,13,FALSE),"")</f>
        <v/>
      </c>
      <c r="F7" s="12" t="str">
        <f>_xlfn.IFNA(VLOOKUP($B7,'CPWNY Perf Network 032017'!$A$2:$AI$2197,12,FALSE),"")</f>
        <v/>
      </c>
      <c r="G7" s="2"/>
      <c r="H7" s="2"/>
      <c r="I7" s="2"/>
      <c r="J7" s="5">
        <f t="shared" si="0"/>
        <v>0</v>
      </c>
    </row>
    <row r="8" spans="1:10" x14ac:dyDescent="0.25">
      <c r="A8" s="37"/>
      <c r="B8" s="2"/>
      <c r="C8" s="2"/>
      <c r="D8" s="12" t="str">
        <f>_xlfn.IFNA(VLOOKUP($B8,'CPWNY Perf Network 032017'!$A$2:$AI$2197,18,FALSE),"")</f>
        <v/>
      </c>
      <c r="E8" s="12" t="str">
        <f>_xlfn.IFNA(VLOOKUP($B8,'CPWNY Perf Network 032017'!$A$2:$AI$2197,13,FALSE),"")</f>
        <v/>
      </c>
      <c r="F8" s="12" t="str">
        <f>_xlfn.IFNA(VLOOKUP($B8,'CPWNY Perf Network 032017'!$A$2:$AI$2197,12,FALSE),"")</f>
        <v/>
      </c>
      <c r="G8" s="2"/>
      <c r="H8" s="2"/>
      <c r="I8" s="2"/>
      <c r="J8" s="5">
        <f t="shared" si="0"/>
        <v>0</v>
      </c>
    </row>
    <row r="9" spans="1:10" x14ac:dyDescent="0.25">
      <c r="A9" s="37"/>
      <c r="B9" s="2"/>
      <c r="C9" s="2"/>
      <c r="D9" s="12" t="str">
        <f>_xlfn.IFNA(VLOOKUP($B9,'CPWNY Perf Network 032017'!$A$2:$AI$2197,18,FALSE),"")</f>
        <v/>
      </c>
      <c r="E9" s="12" t="str">
        <f>_xlfn.IFNA(VLOOKUP($B9,'CPWNY Perf Network 032017'!$A$2:$AI$2197,13,FALSE),"")</f>
        <v/>
      </c>
      <c r="F9" s="12" t="str">
        <f>_xlfn.IFNA(VLOOKUP($B9,'CPWNY Perf Network 032017'!$A$2:$AI$2197,12,FALSE),"")</f>
        <v/>
      </c>
      <c r="G9" s="2"/>
      <c r="H9" s="2"/>
      <c r="I9" s="2"/>
      <c r="J9" s="5">
        <f t="shared" si="0"/>
        <v>0</v>
      </c>
    </row>
    <row r="10" spans="1:10" x14ac:dyDescent="0.25">
      <c r="A10" s="37"/>
      <c r="B10" s="2"/>
      <c r="C10" s="2"/>
      <c r="D10" s="12" t="str">
        <f>_xlfn.IFNA(VLOOKUP($B10,'CPWNY Perf Network 032017'!$A$2:$AI$2197,18,FALSE),"")</f>
        <v/>
      </c>
      <c r="E10" s="12" t="str">
        <f>_xlfn.IFNA(VLOOKUP($B10,'CPWNY Perf Network 032017'!$A$2:$AI$2197,13,FALSE),"")</f>
        <v/>
      </c>
      <c r="F10" s="12" t="str">
        <f>_xlfn.IFNA(VLOOKUP($B10,'CPWNY Perf Network 032017'!$A$2:$AI$2197,12,FALSE),"")</f>
        <v/>
      </c>
      <c r="G10" s="2"/>
      <c r="H10" s="2"/>
      <c r="I10" s="2"/>
      <c r="J10" s="5">
        <f t="shared" si="0"/>
        <v>0</v>
      </c>
    </row>
    <row r="11" spans="1:10" x14ac:dyDescent="0.25">
      <c r="A11" s="37"/>
      <c r="B11" s="35" t="s">
        <v>29</v>
      </c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9"/>
      <c r="B12" s="10"/>
      <c r="C12" s="10"/>
      <c r="D12" s="10"/>
      <c r="E12" s="10"/>
      <c r="F12" s="10"/>
      <c r="G12" s="10"/>
      <c r="H12" s="15">
        <f t="shared" ref="H12:I12" si="1">SUM(H5:H10)</f>
        <v>0</v>
      </c>
      <c r="I12" s="15">
        <f t="shared" si="1"/>
        <v>0</v>
      </c>
      <c r="J12" s="15">
        <f>SUM(J5:J10)</f>
        <v>0</v>
      </c>
    </row>
    <row r="13" spans="1:10" ht="14.25" customHeight="1" x14ac:dyDescent="0.25">
      <c r="A13" s="37" t="s">
        <v>5</v>
      </c>
      <c r="B13" s="2"/>
      <c r="C13" s="2"/>
      <c r="D13" s="12" t="str">
        <f>_xlfn.IFNA(VLOOKUP($B13,'CPWNY Perf Network 032017'!$A$2:$AI$2197,18,FALSE),"")</f>
        <v/>
      </c>
      <c r="E13" s="12" t="str">
        <f>_xlfn.IFNA(VLOOKUP($B13,'CPWNY Perf Network 032017'!$A$2:$AI$2197,13,FALSE),"")</f>
        <v/>
      </c>
      <c r="F13" s="12" t="str">
        <f>_xlfn.IFNA(VLOOKUP($B13,'CPWNY Perf Network 032017'!$A$2:$AI$2197,12,FALSE),"")</f>
        <v/>
      </c>
      <c r="G13" s="2"/>
      <c r="H13" s="2"/>
      <c r="I13" s="2"/>
      <c r="J13" s="5">
        <f>H13+I13</f>
        <v>0</v>
      </c>
    </row>
    <row r="14" spans="1:10" x14ac:dyDescent="0.25">
      <c r="A14" s="37"/>
      <c r="B14" s="2"/>
      <c r="C14" s="2"/>
      <c r="D14" s="12" t="str">
        <f>_xlfn.IFNA(VLOOKUP($B14,'CPWNY Perf Network 032017'!$A$2:$AI$2197,18,FALSE),"")</f>
        <v/>
      </c>
      <c r="E14" s="12" t="str">
        <f>_xlfn.IFNA(VLOOKUP($B14,'CPWNY Perf Network 032017'!$A$2:$AI$2197,13,FALSE),"")</f>
        <v/>
      </c>
      <c r="F14" s="12" t="str">
        <f>_xlfn.IFNA(VLOOKUP($B14,'CPWNY Perf Network 032017'!$A$2:$AI$2197,12,FALSE),"")</f>
        <v/>
      </c>
      <c r="G14" s="2"/>
      <c r="H14" s="2"/>
      <c r="I14" s="2"/>
      <c r="J14" s="5">
        <f t="shared" ref="J14:J18" si="2">H14+I14</f>
        <v>0</v>
      </c>
    </row>
    <row r="15" spans="1:10" x14ac:dyDescent="0.25">
      <c r="A15" s="37"/>
      <c r="B15" s="2"/>
      <c r="C15" s="2"/>
      <c r="D15" s="12" t="str">
        <f>_xlfn.IFNA(VLOOKUP($B15,'CPWNY Perf Network 032017'!$A$2:$AI$2197,18,FALSE),"")</f>
        <v/>
      </c>
      <c r="E15" s="12" t="str">
        <f>_xlfn.IFNA(VLOOKUP($B15,'CPWNY Perf Network 032017'!$A$2:$AI$2197,13,FALSE),"")</f>
        <v/>
      </c>
      <c r="F15" s="12" t="str">
        <f>_xlfn.IFNA(VLOOKUP($B15,'CPWNY Perf Network 032017'!$A$2:$AI$2197,12,FALSE),"")</f>
        <v/>
      </c>
      <c r="G15" s="2"/>
      <c r="H15" s="2"/>
      <c r="I15" s="2"/>
      <c r="J15" s="5">
        <f t="shared" si="2"/>
        <v>0</v>
      </c>
    </row>
    <row r="16" spans="1:10" x14ac:dyDescent="0.25">
      <c r="A16" s="37"/>
      <c r="B16" s="2"/>
      <c r="C16" s="2"/>
      <c r="D16" s="12" t="str">
        <f>_xlfn.IFNA(VLOOKUP($B16,'CPWNY Perf Network 032017'!$A$2:$AI$2197,18,FALSE),"")</f>
        <v/>
      </c>
      <c r="E16" s="12" t="str">
        <f>_xlfn.IFNA(VLOOKUP($B16,'CPWNY Perf Network 032017'!$A$2:$AI$2197,13,FALSE),"")</f>
        <v/>
      </c>
      <c r="F16" s="12" t="str">
        <f>_xlfn.IFNA(VLOOKUP($B16,'CPWNY Perf Network 032017'!$A$2:$AI$2197,12,FALSE),"")</f>
        <v/>
      </c>
      <c r="G16" s="2"/>
      <c r="H16" s="2"/>
      <c r="I16" s="2"/>
      <c r="J16" s="5">
        <f t="shared" si="2"/>
        <v>0</v>
      </c>
    </row>
    <row r="17" spans="1:10" x14ac:dyDescent="0.25">
      <c r="A17" s="37"/>
      <c r="B17" s="2"/>
      <c r="C17" s="2"/>
      <c r="D17" s="12" t="str">
        <f>_xlfn.IFNA(VLOOKUP($B17,'CPWNY Perf Network 032017'!$A$2:$AI$2197,18,FALSE),"")</f>
        <v/>
      </c>
      <c r="E17" s="12" t="str">
        <f>_xlfn.IFNA(VLOOKUP($B17,'CPWNY Perf Network 032017'!$A$2:$AI$2197,13,FALSE),"")</f>
        <v/>
      </c>
      <c r="F17" s="12" t="str">
        <f>_xlfn.IFNA(VLOOKUP($B17,'CPWNY Perf Network 032017'!$A$2:$AI$2197,12,FALSE),"")</f>
        <v/>
      </c>
      <c r="G17" s="2"/>
      <c r="H17" s="2"/>
      <c r="I17" s="2"/>
      <c r="J17" s="5">
        <f t="shared" si="2"/>
        <v>0</v>
      </c>
    </row>
    <row r="18" spans="1:10" x14ac:dyDescent="0.25">
      <c r="A18" s="37"/>
      <c r="B18" s="2"/>
      <c r="C18" s="2"/>
      <c r="D18" s="12" t="str">
        <f>_xlfn.IFNA(VLOOKUP($B18,'CPWNY Perf Network 032017'!$A$2:$AI$2197,18,FALSE),"")</f>
        <v/>
      </c>
      <c r="E18" s="12" t="str">
        <f>_xlfn.IFNA(VLOOKUP($B18,'CPWNY Perf Network 032017'!$A$2:$AI$2197,13,FALSE),"")</f>
        <v/>
      </c>
      <c r="F18" s="12" t="str">
        <f>_xlfn.IFNA(VLOOKUP($B18,'CPWNY Perf Network 032017'!$A$2:$AI$2197,12,FALSE),"")</f>
        <v/>
      </c>
      <c r="G18" s="2"/>
      <c r="H18" s="2"/>
      <c r="I18" s="2"/>
      <c r="J18" s="5">
        <f t="shared" si="2"/>
        <v>0</v>
      </c>
    </row>
    <row r="19" spans="1:10" x14ac:dyDescent="0.25">
      <c r="A19" s="37"/>
      <c r="B19" s="35" t="s">
        <v>29</v>
      </c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9"/>
      <c r="B20" s="10"/>
      <c r="C20" s="10"/>
      <c r="D20" s="10"/>
      <c r="E20" s="10"/>
      <c r="F20" s="10"/>
      <c r="G20" s="10"/>
      <c r="H20" s="15">
        <f>SUM(H13:H18)</f>
        <v>0</v>
      </c>
      <c r="I20" s="15">
        <f t="shared" ref="I20:J20" si="3">SUM(I13:I18)</f>
        <v>0</v>
      </c>
      <c r="J20" s="15">
        <f t="shared" si="3"/>
        <v>0</v>
      </c>
    </row>
    <row r="21" spans="1:10" ht="14.25" customHeight="1" x14ac:dyDescent="0.25">
      <c r="A21" s="37" t="s">
        <v>6</v>
      </c>
      <c r="B21" s="2"/>
      <c r="C21" s="2"/>
      <c r="D21" s="12" t="str">
        <f>_xlfn.IFNA(VLOOKUP($B21,'CPWNY Perf Network 032017'!$A$2:$AI$2197,18,FALSE),"")</f>
        <v/>
      </c>
      <c r="E21" s="12" t="str">
        <f>_xlfn.IFNA(VLOOKUP($B21,'CPWNY Perf Network 032017'!$A$2:$AI$2197,13,FALSE),"")</f>
        <v/>
      </c>
      <c r="F21" s="12" t="str">
        <f>_xlfn.IFNA(VLOOKUP($B21,'CPWNY Perf Network 032017'!$A$2:$AI$2197,12,FALSE),"")</f>
        <v/>
      </c>
      <c r="G21" s="2"/>
      <c r="H21" s="2"/>
      <c r="I21" s="2"/>
      <c r="J21" s="5">
        <f>H21+I21</f>
        <v>0</v>
      </c>
    </row>
    <row r="22" spans="1:10" x14ac:dyDescent="0.25">
      <c r="A22" s="37"/>
      <c r="B22" s="2"/>
      <c r="C22" s="2"/>
      <c r="D22" s="12" t="str">
        <f>_xlfn.IFNA(VLOOKUP($B22,'CPWNY Perf Network 032017'!$A$2:$AI$2197,18,FALSE),"")</f>
        <v/>
      </c>
      <c r="E22" s="12" t="str">
        <f>_xlfn.IFNA(VLOOKUP($B22,'CPWNY Perf Network 032017'!$A$2:$AI$2197,13,FALSE),"")</f>
        <v/>
      </c>
      <c r="F22" s="12" t="str">
        <f>_xlfn.IFNA(VLOOKUP($B22,'CPWNY Perf Network 032017'!$A$2:$AI$2197,12,FALSE),"")</f>
        <v/>
      </c>
      <c r="G22" s="2"/>
      <c r="H22" s="2"/>
      <c r="I22" s="2"/>
      <c r="J22" s="5">
        <f t="shared" ref="J22:J26" si="4">H22+I22</f>
        <v>0</v>
      </c>
    </row>
    <row r="23" spans="1:10" x14ac:dyDescent="0.25">
      <c r="A23" s="37"/>
      <c r="B23" s="2"/>
      <c r="C23" s="2"/>
      <c r="D23" s="12" t="str">
        <f>_xlfn.IFNA(VLOOKUP($B23,'CPWNY Perf Network 032017'!$A$2:$AI$2197,18,FALSE),"")</f>
        <v/>
      </c>
      <c r="E23" s="12" t="str">
        <f>_xlfn.IFNA(VLOOKUP($B23,'CPWNY Perf Network 032017'!$A$2:$AI$2197,13,FALSE),"")</f>
        <v/>
      </c>
      <c r="F23" s="12" t="str">
        <f>_xlfn.IFNA(VLOOKUP($B23,'CPWNY Perf Network 032017'!$A$2:$AI$2197,12,FALSE),"")</f>
        <v/>
      </c>
      <c r="G23" s="2"/>
      <c r="H23" s="2"/>
      <c r="I23" s="2"/>
      <c r="J23" s="5">
        <f t="shared" si="4"/>
        <v>0</v>
      </c>
    </row>
    <row r="24" spans="1:10" x14ac:dyDescent="0.25">
      <c r="A24" s="37"/>
      <c r="B24" s="2"/>
      <c r="C24" s="2"/>
      <c r="D24" s="12" t="str">
        <f>_xlfn.IFNA(VLOOKUP($B24,'CPWNY Perf Network 032017'!$A$2:$AI$2197,18,FALSE),"")</f>
        <v/>
      </c>
      <c r="E24" s="12" t="str">
        <f>_xlfn.IFNA(VLOOKUP($B24,'CPWNY Perf Network 032017'!$A$2:$AI$2197,13,FALSE),"")</f>
        <v/>
      </c>
      <c r="F24" s="12" t="str">
        <f>_xlfn.IFNA(VLOOKUP($B24,'CPWNY Perf Network 032017'!$A$2:$AI$2197,12,FALSE),"")</f>
        <v/>
      </c>
      <c r="G24" s="2"/>
      <c r="H24" s="2"/>
      <c r="I24" s="2"/>
      <c r="J24" s="5">
        <f t="shared" si="4"/>
        <v>0</v>
      </c>
    </row>
    <row r="25" spans="1:10" x14ac:dyDescent="0.25">
      <c r="A25" s="37"/>
      <c r="B25" s="2"/>
      <c r="C25" s="2"/>
      <c r="D25" s="12" t="str">
        <f>_xlfn.IFNA(VLOOKUP($B25,'CPWNY Perf Network 032017'!$A$2:$AI$2197,18,FALSE),"")</f>
        <v/>
      </c>
      <c r="E25" s="12" t="str">
        <f>_xlfn.IFNA(VLOOKUP($B25,'CPWNY Perf Network 032017'!$A$2:$AI$2197,13,FALSE),"")</f>
        <v/>
      </c>
      <c r="F25" s="12" t="str">
        <f>_xlfn.IFNA(VLOOKUP($B25,'CPWNY Perf Network 032017'!$A$2:$AI$2197,12,FALSE),"")</f>
        <v/>
      </c>
      <c r="G25" s="2"/>
      <c r="H25" s="2"/>
      <c r="I25" s="2"/>
      <c r="J25" s="5">
        <f t="shared" si="4"/>
        <v>0</v>
      </c>
    </row>
    <row r="26" spans="1:10" x14ac:dyDescent="0.25">
      <c r="A26" s="37"/>
      <c r="B26" s="2"/>
      <c r="C26" s="2"/>
      <c r="D26" s="12" t="str">
        <f>_xlfn.IFNA(VLOOKUP($B26,'CPWNY Perf Network 032017'!$A$2:$AI$2197,18,FALSE),"")</f>
        <v/>
      </c>
      <c r="E26" s="12" t="str">
        <f>_xlfn.IFNA(VLOOKUP($B26,'CPWNY Perf Network 032017'!$A$2:$AI$2197,13,FALSE),"")</f>
        <v/>
      </c>
      <c r="F26" s="12" t="str">
        <f>_xlfn.IFNA(VLOOKUP($B26,'CPWNY Perf Network 032017'!$A$2:$AI$2197,12,FALSE),"")</f>
        <v/>
      </c>
      <c r="G26" s="2"/>
      <c r="H26" s="2"/>
      <c r="I26" s="2"/>
      <c r="J26" s="5">
        <f t="shared" si="4"/>
        <v>0</v>
      </c>
    </row>
    <row r="27" spans="1:10" x14ac:dyDescent="0.25">
      <c r="A27" s="37"/>
      <c r="B27" s="35" t="s">
        <v>29</v>
      </c>
      <c r="C27" s="36"/>
      <c r="D27" s="36"/>
      <c r="E27" s="36"/>
      <c r="F27" s="36"/>
      <c r="G27" s="36"/>
      <c r="H27" s="36"/>
      <c r="I27" s="36"/>
      <c r="J27" s="36"/>
    </row>
    <row r="28" spans="1:10" x14ac:dyDescent="0.25">
      <c r="A28" s="9"/>
      <c r="B28" s="10"/>
      <c r="C28" s="10"/>
      <c r="D28" s="10"/>
      <c r="E28" s="10"/>
      <c r="F28" s="10"/>
      <c r="G28" s="10"/>
      <c r="H28" s="15">
        <f>SUM(H21:H26)</f>
        <v>0</v>
      </c>
      <c r="I28" s="15">
        <f t="shared" ref="I28:J28" si="5">SUM(I21:I26)</f>
        <v>0</v>
      </c>
      <c r="J28" s="15">
        <f t="shared" si="5"/>
        <v>0</v>
      </c>
    </row>
    <row r="29" spans="1:10" ht="14.25" customHeight="1" x14ac:dyDescent="0.25">
      <c r="A29" s="37" t="s">
        <v>7</v>
      </c>
      <c r="B29" s="2"/>
      <c r="C29" s="2"/>
      <c r="D29" s="12" t="str">
        <f>_xlfn.IFNA(VLOOKUP($B29,'CPWNY Perf Network 032017'!$A$2:$AI$2197,18,FALSE),"")</f>
        <v/>
      </c>
      <c r="E29" s="12" t="str">
        <f>_xlfn.IFNA(VLOOKUP($B29,'CPWNY Perf Network 032017'!$A$2:$AI$2197,13,FALSE),"")</f>
        <v/>
      </c>
      <c r="F29" s="12" t="str">
        <f>_xlfn.IFNA(VLOOKUP($B29,'CPWNY Perf Network 032017'!$A$2:$AI$2197,12,FALSE),"")</f>
        <v/>
      </c>
      <c r="G29" s="2"/>
      <c r="H29" s="2"/>
      <c r="I29" s="2"/>
      <c r="J29" s="5">
        <f>H29+I29</f>
        <v>0</v>
      </c>
    </row>
    <row r="30" spans="1:10" x14ac:dyDescent="0.25">
      <c r="A30" s="37"/>
      <c r="B30" s="2"/>
      <c r="C30" s="2"/>
      <c r="D30" s="12" t="str">
        <f>_xlfn.IFNA(VLOOKUP($B30,'CPWNY Perf Network 032017'!$A$2:$AI$2197,18,FALSE),"")</f>
        <v/>
      </c>
      <c r="E30" s="12" t="str">
        <f>_xlfn.IFNA(VLOOKUP($B30,'CPWNY Perf Network 032017'!$A$2:$AI$2197,13,FALSE),"")</f>
        <v/>
      </c>
      <c r="F30" s="12" t="str">
        <f>_xlfn.IFNA(VLOOKUP($B30,'CPWNY Perf Network 032017'!$A$2:$AI$2197,12,FALSE),"")</f>
        <v/>
      </c>
      <c r="G30" s="2"/>
      <c r="H30" s="2"/>
      <c r="I30" s="2"/>
      <c r="J30" s="5">
        <f t="shared" ref="J30:J34" si="6">H30+I30</f>
        <v>0</v>
      </c>
    </row>
    <row r="31" spans="1:10" x14ac:dyDescent="0.25">
      <c r="A31" s="37"/>
      <c r="B31" s="2"/>
      <c r="C31" s="2"/>
      <c r="D31" s="12" t="str">
        <f>_xlfn.IFNA(VLOOKUP($B31,'CPWNY Perf Network 032017'!$A$2:$AI$2197,18,FALSE),"")</f>
        <v/>
      </c>
      <c r="E31" s="12" t="str">
        <f>_xlfn.IFNA(VLOOKUP($B31,'CPWNY Perf Network 032017'!$A$2:$AI$2197,13,FALSE),"")</f>
        <v/>
      </c>
      <c r="F31" s="12" t="str">
        <f>_xlfn.IFNA(VLOOKUP($B31,'CPWNY Perf Network 032017'!$A$2:$AI$2197,12,FALSE),"")</f>
        <v/>
      </c>
      <c r="G31" s="2"/>
      <c r="H31" s="2"/>
      <c r="I31" s="2"/>
      <c r="J31" s="5">
        <f t="shared" si="6"/>
        <v>0</v>
      </c>
    </row>
    <row r="32" spans="1:10" x14ac:dyDescent="0.25">
      <c r="A32" s="37"/>
      <c r="B32" s="2"/>
      <c r="C32" s="2"/>
      <c r="D32" s="12" t="str">
        <f>_xlfn.IFNA(VLOOKUP($B32,'CPWNY Perf Network 032017'!$A$2:$AI$2197,18,FALSE),"")</f>
        <v/>
      </c>
      <c r="E32" s="12" t="str">
        <f>_xlfn.IFNA(VLOOKUP($B32,'CPWNY Perf Network 032017'!$A$2:$AI$2197,13,FALSE),"")</f>
        <v/>
      </c>
      <c r="F32" s="12" t="str">
        <f>_xlfn.IFNA(VLOOKUP($B32,'CPWNY Perf Network 032017'!$A$2:$AI$2197,12,FALSE),"")</f>
        <v/>
      </c>
      <c r="G32" s="2"/>
      <c r="H32" s="2"/>
      <c r="I32" s="2"/>
      <c r="J32" s="5">
        <f t="shared" si="6"/>
        <v>0</v>
      </c>
    </row>
    <row r="33" spans="1:10" x14ac:dyDescent="0.25">
      <c r="A33" s="37"/>
      <c r="B33" s="2"/>
      <c r="C33" s="2"/>
      <c r="D33" s="12" t="str">
        <f>_xlfn.IFNA(VLOOKUP($B33,'CPWNY Perf Network 032017'!$A$2:$AI$2197,18,FALSE),"")</f>
        <v/>
      </c>
      <c r="E33" s="12" t="str">
        <f>_xlfn.IFNA(VLOOKUP($B33,'CPWNY Perf Network 032017'!$A$2:$AI$2197,13,FALSE),"")</f>
        <v/>
      </c>
      <c r="F33" s="12" t="str">
        <f>_xlfn.IFNA(VLOOKUP($B33,'CPWNY Perf Network 032017'!$A$2:$AI$2197,12,FALSE),"")</f>
        <v/>
      </c>
      <c r="G33" s="2"/>
      <c r="H33" s="2"/>
      <c r="I33" s="2"/>
      <c r="J33" s="5">
        <f t="shared" si="6"/>
        <v>0</v>
      </c>
    </row>
    <row r="34" spans="1:10" x14ac:dyDescent="0.25">
      <c r="A34" s="37"/>
      <c r="B34" s="2"/>
      <c r="C34" s="2"/>
      <c r="D34" s="12" t="str">
        <f>_xlfn.IFNA(VLOOKUP($B34,'CPWNY Perf Network 032017'!$A$2:$AI$2197,18,FALSE),"")</f>
        <v/>
      </c>
      <c r="E34" s="12" t="str">
        <f>_xlfn.IFNA(VLOOKUP($B34,'CPWNY Perf Network 032017'!$A$2:$AI$2197,13,FALSE),"")</f>
        <v/>
      </c>
      <c r="F34" s="12" t="str">
        <f>_xlfn.IFNA(VLOOKUP($B34,'CPWNY Perf Network 032017'!$A$2:$AI$2197,12,FALSE),"")</f>
        <v/>
      </c>
      <c r="G34" s="2"/>
      <c r="H34" s="2"/>
      <c r="I34" s="2"/>
      <c r="J34" s="5">
        <f t="shared" si="6"/>
        <v>0</v>
      </c>
    </row>
    <row r="35" spans="1:10" x14ac:dyDescent="0.25">
      <c r="A35" s="37"/>
      <c r="B35" s="35" t="s">
        <v>29</v>
      </c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9"/>
      <c r="B36" s="10"/>
      <c r="C36" s="10"/>
      <c r="D36" s="10"/>
      <c r="E36" s="10"/>
      <c r="F36" s="10"/>
      <c r="G36" s="10"/>
      <c r="H36" s="15">
        <f>SUM(H29:H34)</f>
        <v>0</v>
      </c>
      <c r="I36" s="15">
        <f t="shared" ref="I36:J36" si="7">SUM(I29:I34)</f>
        <v>0</v>
      </c>
      <c r="J36" s="15">
        <f t="shared" si="7"/>
        <v>0</v>
      </c>
    </row>
    <row r="37" spans="1:10" x14ac:dyDescent="0.25">
      <c r="A37" s="37" t="s">
        <v>9</v>
      </c>
      <c r="B37" s="2"/>
      <c r="C37" s="2"/>
      <c r="D37" s="12" t="str">
        <f>_xlfn.IFNA(VLOOKUP($B37,'CPWNY Perf Network 032017'!$A$2:$AI$2197,18,FALSE),"")</f>
        <v/>
      </c>
      <c r="E37" s="12" t="str">
        <f>_xlfn.IFNA(VLOOKUP($B37,'CPWNY Perf Network 032017'!$A$2:$AI$2197,13,FALSE),"")</f>
        <v/>
      </c>
      <c r="F37" s="12" t="str">
        <f>_xlfn.IFNA(VLOOKUP($B37,'CPWNY Perf Network 032017'!$A$2:$AI$2197,12,FALSE),"")</f>
        <v/>
      </c>
      <c r="G37" s="2"/>
      <c r="H37" s="2"/>
      <c r="I37" s="2"/>
      <c r="J37" s="5">
        <f>H37+I37</f>
        <v>0</v>
      </c>
    </row>
    <row r="38" spans="1:10" x14ac:dyDescent="0.25">
      <c r="A38" s="37"/>
      <c r="B38" s="2"/>
      <c r="C38" s="2"/>
      <c r="D38" s="12" t="str">
        <f>_xlfn.IFNA(VLOOKUP($B38,'CPWNY Perf Network 032017'!$A$2:$AI$2197,18,FALSE),"")</f>
        <v/>
      </c>
      <c r="E38" s="12" t="str">
        <f>_xlfn.IFNA(VLOOKUP($B38,'CPWNY Perf Network 032017'!$A$2:$AI$2197,13,FALSE),"")</f>
        <v/>
      </c>
      <c r="F38" s="12" t="str">
        <f>_xlfn.IFNA(VLOOKUP($B38,'CPWNY Perf Network 032017'!$A$2:$AI$2197,12,FALSE),"")</f>
        <v/>
      </c>
      <c r="G38" s="2"/>
      <c r="H38" s="2"/>
      <c r="I38" s="2"/>
      <c r="J38" s="5">
        <f t="shared" ref="J38:J42" si="8">H38+I38</f>
        <v>0</v>
      </c>
    </row>
    <row r="39" spans="1:10" x14ac:dyDescent="0.25">
      <c r="A39" s="37"/>
      <c r="B39" s="2"/>
      <c r="C39" s="2"/>
      <c r="D39" s="12" t="str">
        <f>_xlfn.IFNA(VLOOKUP($B39,'CPWNY Perf Network 032017'!$A$2:$AI$2197,18,FALSE),"")</f>
        <v/>
      </c>
      <c r="E39" s="12" t="str">
        <f>_xlfn.IFNA(VLOOKUP($B39,'CPWNY Perf Network 032017'!$A$2:$AI$2197,13,FALSE),"")</f>
        <v/>
      </c>
      <c r="F39" s="12" t="str">
        <f>_xlfn.IFNA(VLOOKUP($B39,'CPWNY Perf Network 032017'!$A$2:$AI$2197,12,FALSE),"")</f>
        <v/>
      </c>
      <c r="G39" s="2"/>
      <c r="H39" s="2"/>
      <c r="I39" s="2"/>
      <c r="J39" s="5">
        <f t="shared" si="8"/>
        <v>0</v>
      </c>
    </row>
    <row r="40" spans="1:10" x14ac:dyDescent="0.25">
      <c r="A40" s="37"/>
      <c r="B40" s="2"/>
      <c r="C40" s="2"/>
      <c r="D40" s="12" t="str">
        <f>_xlfn.IFNA(VLOOKUP($B40,'CPWNY Perf Network 032017'!$A$2:$AI$2197,18,FALSE),"")</f>
        <v/>
      </c>
      <c r="E40" s="12" t="str">
        <f>_xlfn.IFNA(VLOOKUP($B40,'CPWNY Perf Network 032017'!$A$2:$AI$2197,13,FALSE),"")</f>
        <v/>
      </c>
      <c r="F40" s="12" t="str">
        <f>_xlfn.IFNA(VLOOKUP($B40,'CPWNY Perf Network 032017'!$A$2:$AI$2197,12,FALSE),"")</f>
        <v/>
      </c>
      <c r="G40" s="2"/>
      <c r="H40" s="2"/>
      <c r="I40" s="2"/>
      <c r="J40" s="5">
        <f t="shared" si="8"/>
        <v>0</v>
      </c>
    </row>
    <row r="41" spans="1:10" x14ac:dyDescent="0.25">
      <c r="A41" s="37"/>
      <c r="B41" s="2"/>
      <c r="C41" s="2"/>
      <c r="D41" s="12" t="str">
        <f>_xlfn.IFNA(VLOOKUP($B41,'CPWNY Perf Network 032017'!$A$2:$AI$2197,18,FALSE),"")</f>
        <v/>
      </c>
      <c r="E41" s="12" t="str">
        <f>_xlfn.IFNA(VLOOKUP($B41,'CPWNY Perf Network 032017'!$A$2:$AI$2197,13,FALSE),"")</f>
        <v/>
      </c>
      <c r="F41" s="12" t="str">
        <f>_xlfn.IFNA(VLOOKUP($B41,'CPWNY Perf Network 032017'!$A$2:$AI$2197,12,FALSE),"")</f>
        <v/>
      </c>
      <c r="G41" s="2"/>
      <c r="H41" s="2"/>
      <c r="I41" s="2"/>
      <c r="J41" s="5">
        <f t="shared" si="8"/>
        <v>0</v>
      </c>
    </row>
    <row r="42" spans="1:10" x14ac:dyDescent="0.25">
      <c r="A42" s="37"/>
      <c r="B42" s="2"/>
      <c r="C42" s="2"/>
      <c r="D42" s="12" t="str">
        <f>_xlfn.IFNA(VLOOKUP($B42,'CPWNY Perf Network 032017'!$A$2:$AI$2197,18,FALSE),"")</f>
        <v/>
      </c>
      <c r="E42" s="12" t="str">
        <f>_xlfn.IFNA(VLOOKUP($B42,'CPWNY Perf Network 032017'!$A$2:$AI$2197,13,FALSE),"")</f>
        <v/>
      </c>
      <c r="F42" s="12" t="str">
        <f>_xlfn.IFNA(VLOOKUP($B42,'CPWNY Perf Network 032017'!$A$2:$AI$2197,12,FALSE),"")</f>
        <v/>
      </c>
      <c r="G42" s="2"/>
      <c r="H42" s="2"/>
      <c r="I42" s="2"/>
      <c r="J42" s="5">
        <f t="shared" si="8"/>
        <v>0</v>
      </c>
    </row>
    <row r="43" spans="1:10" x14ac:dyDescent="0.25">
      <c r="A43" s="37"/>
      <c r="B43" s="35" t="s">
        <v>29</v>
      </c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9"/>
      <c r="B44" s="10"/>
      <c r="C44" s="10"/>
      <c r="D44" s="10"/>
      <c r="E44" s="10"/>
      <c r="F44" s="10"/>
      <c r="G44" s="10"/>
      <c r="H44" s="15">
        <f>SUM(H37:H42)</f>
        <v>0</v>
      </c>
      <c r="I44" s="15">
        <f t="shared" ref="I44:J44" si="9">SUM(I37:I42)</f>
        <v>0</v>
      </c>
      <c r="J44" s="15">
        <f t="shared" si="9"/>
        <v>0</v>
      </c>
    </row>
    <row r="45" spans="1:10" x14ac:dyDescent="0.25">
      <c r="A45" s="37" t="s">
        <v>10</v>
      </c>
      <c r="B45" s="2"/>
      <c r="C45" s="2"/>
      <c r="D45" s="12" t="str">
        <f>_xlfn.IFNA(VLOOKUP($B45,'CPWNY Perf Network 032017'!$A$2:$AI$2197,18,FALSE),"")</f>
        <v/>
      </c>
      <c r="E45" s="12" t="str">
        <f>_xlfn.IFNA(VLOOKUP($B45,'CPWNY Perf Network 032017'!$A$2:$AI$2197,13,FALSE),"")</f>
        <v/>
      </c>
      <c r="F45" s="12" t="str">
        <f>_xlfn.IFNA(VLOOKUP($B45,'CPWNY Perf Network 032017'!$A$2:$AI$2197,12,FALSE),"")</f>
        <v/>
      </c>
      <c r="G45" s="2"/>
      <c r="H45" s="2"/>
      <c r="I45" s="2"/>
      <c r="J45" s="5">
        <f>H45+I45</f>
        <v>0</v>
      </c>
    </row>
    <row r="46" spans="1:10" x14ac:dyDescent="0.25">
      <c r="A46" s="37"/>
      <c r="B46" s="2"/>
      <c r="C46" s="2"/>
      <c r="D46" s="12" t="str">
        <f>_xlfn.IFNA(VLOOKUP($B46,'CPWNY Perf Network 032017'!$A$2:$AI$2197,18,FALSE),"")</f>
        <v/>
      </c>
      <c r="E46" s="12" t="str">
        <f>_xlfn.IFNA(VLOOKUP($B46,'CPWNY Perf Network 032017'!$A$2:$AI$2197,13,FALSE),"")</f>
        <v/>
      </c>
      <c r="F46" s="12" t="str">
        <f>_xlfn.IFNA(VLOOKUP($B46,'CPWNY Perf Network 032017'!$A$2:$AI$2197,12,FALSE),"")</f>
        <v/>
      </c>
      <c r="G46" s="2"/>
      <c r="H46" s="2"/>
      <c r="I46" s="2"/>
      <c r="J46" s="5">
        <f t="shared" ref="J46:J50" si="10">H46+I46</f>
        <v>0</v>
      </c>
    </row>
    <row r="47" spans="1:10" x14ac:dyDescent="0.25">
      <c r="A47" s="37"/>
      <c r="B47" s="2"/>
      <c r="C47" s="2"/>
      <c r="D47" s="12" t="str">
        <f>_xlfn.IFNA(VLOOKUP($B47,'CPWNY Perf Network 032017'!$A$2:$AI$2197,18,FALSE),"")</f>
        <v/>
      </c>
      <c r="E47" s="12" t="str">
        <f>_xlfn.IFNA(VLOOKUP($B47,'CPWNY Perf Network 032017'!$A$2:$AI$2197,13,FALSE),"")</f>
        <v/>
      </c>
      <c r="F47" s="12" t="str">
        <f>_xlfn.IFNA(VLOOKUP($B47,'CPWNY Perf Network 032017'!$A$2:$AI$2197,12,FALSE),"")</f>
        <v/>
      </c>
      <c r="G47" s="2"/>
      <c r="H47" s="2"/>
      <c r="I47" s="2"/>
      <c r="J47" s="5">
        <f t="shared" si="10"/>
        <v>0</v>
      </c>
    </row>
    <row r="48" spans="1:10" x14ac:dyDescent="0.25">
      <c r="A48" s="37"/>
      <c r="B48" s="2"/>
      <c r="C48" s="2"/>
      <c r="D48" s="12" t="str">
        <f>_xlfn.IFNA(VLOOKUP($B48,'CPWNY Perf Network 032017'!$A$2:$AI$2197,18,FALSE),"")</f>
        <v/>
      </c>
      <c r="E48" s="12" t="str">
        <f>_xlfn.IFNA(VLOOKUP($B48,'CPWNY Perf Network 032017'!$A$2:$AI$2197,13,FALSE),"")</f>
        <v/>
      </c>
      <c r="F48" s="12" t="str">
        <f>_xlfn.IFNA(VLOOKUP($B48,'CPWNY Perf Network 032017'!$A$2:$AI$2197,12,FALSE),"")</f>
        <v/>
      </c>
      <c r="G48" s="2"/>
      <c r="H48" s="2"/>
      <c r="I48" s="2"/>
      <c r="J48" s="5">
        <f t="shared" si="10"/>
        <v>0</v>
      </c>
    </row>
    <row r="49" spans="1:10" x14ac:dyDescent="0.25">
      <c r="A49" s="37"/>
      <c r="B49" s="2"/>
      <c r="C49" s="2"/>
      <c r="D49" s="12" t="str">
        <f>_xlfn.IFNA(VLOOKUP($B49,'CPWNY Perf Network 032017'!$A$2:$AI$2197,18,FALSE),"")</f>
        <v/>
      </c>
      <c r="E49" s="12" t="str">
        <f>_xlfn.IFNA(VLOOKUP($B49,'CPWNY Perf Network 032017'!$A$2:$AI$2197,13,FALSE),"")</f>
        <v/>
      </c>
      <c r="F49" s="12" t="str">
        <f>_xlfn.IFNA(VLOOKUP($B49,'CPWNY Perf Network 032017'!$A$2:$AI$2197,12,FALSE),"")</f>
        <v/>
      </c>
      <c r="G49" s="2"/>
      <c r="H49" s="2"/>
      <c r="I49" s="2"/>
      <c r="J49" s="5">
        <f t="shared" si="10"/>
        <v>0</v>
      </c>
    </row>
    <row r="50" spans="1:10" x14ac:dyDescent="0.25">
      <c r="A50" s="37"/>
      <c r="B50" s="2"/>
      <c r="C50" s="2"/>
      <c r="D50" s="12" t="str">
        <f>_xlfn.IFNA(VLOOKUP($B50,'CPWNY Perf Network 032017'!$A$2:$AI$2197,18,FALSE),"")</f>
        <v/>
      </c>
      <c r="E50" s="12" t="str">
        <f>_xlfn.IFNA(VLOOKUP($B50,'CPWNY Perf Network 032017'!$A$2:$AI$2197,13,FALSE),"")</f>
        <v/>
      </c>
      <c r="F50" s="12" t="str">
        <f>_xlfn.IFNA(VLOOKUP($B50,'CPWNY Perf Network 032017'!$A$2:$AI$2197,12,FALSE),"")</f>
        <v/>
      </c>
      <c r="G50" s="2"/>
      <c r="H50" s="2"/>
      <c r="I50" s="2"/>
      <c r="J50" s="5">
        <f t="shared" si="10"/>
        <v>0</v>
      </c>
    </row>
    <row r="51" spans="1:10" x14ac:dyDescent="0.25">
      <c r="A51" s="37"/>
      <c r="B51" s="35" t="s">
        <v>29</v>
      </c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"/>
      <c r="B52" s="10"/>
      <c r="C52" s="10"/>
      <c r="D52" s="10"/>
      <c r="E52" s="10"/>
      <c r="F52" s="10"/>
      <c r="G52" s="10"/>
      <c r="H52" s="15">
        <f>SUM(H45:H50)</f>
        <v>0</v>
      </c>
      <c r="I52" s="15">
        <f t="shared" ref="I52:J52" si="11">SUM(I45:I50)</f>
        <v>0</v>
      </c>
      <c r="J52" s="15">
        <f t="shared" si="11"/>
        <v>0</v>
      </c>
    </row>
    <row r="53" spans="1:10" x14ac:dyDescent="0.25">
      <c r="A53" s="37" t="s">
        <v>11</v>
      </c>
      <c r="B53" s="2"/>
      <c r="C53" s="2"/>
      <c r="D53" s="12" t="str">
        <f>_xlfn.IFNA(VLOOKUP($B53,'CPWNY Perf Network 032017'!$A$2:$AI$2197,18,FALSE),"")</f>
        <v/>
      </c>
      <c r="E53" s="12" t="str">
        <f>_xlfn.IFNA(VLOOKUP($B53,'CPWNY Perf Network 032017'!$A$2:$AI$2197,13,FALSE),"")</f>
        <v/>
      </c>
      <c r="F53" s="12" t="str">
        <f>_xlfn.IFNA(VLOOKUP($B53,'CPWNY Perf Network 032017'!$A$2:$AI$2197,12,FALSE),"")</f>
        <v/>
      </c>
      <c r="G53" s="2"/>
      <c r="H53" s="2"/>
      <c r="I53" s="2"/>
      <c r="J53" s="5">
        <f>H53+I53</f>
        <v>0</v>
      </c>
    </row>
    <row r="54" spans="1:10" x14ac:dyDescent="0.25">
      <c r="A54" s="37"/>
      <c r="B54" s="2"/>
      <c r="C54" s="2"/>
      <c r="D54" s="12" t="str">
        <f>_xlfn.IFNA(VLOOKUP($B54,'CPWNY Perf Network 032017'!$A$2:$AI$2197,18,FALSE),"")</f>
        <v/>
      </c>
      <c r="E54" s="12" t="str">
        <f>_xlfn.IFNA(VLOOKUP($B54,'CPWNY Perf Network 032017'!$A$2:$AI$2197,13,FALSE),"")</f>
        <v/>
      </c>
      <c r="F54" s="12" t="str">
        <f>_xlfn.IFNA(VLOOKUP($B54,'CPWNY Perf Network 032017'!$A$2:$AI$2197,12,FALSE),"")</f>
        <v/>
      </c>
      <c r="G54" s="2"/>
      <c r="H54" s="2"/>
      <c r="I54" s="2"/>
      <c r="J54" s="5">
        <f t="shared" ref="J54:J58" si="12">H54+I54</f>
        <v>0</v>
      </c>
    </row>
    <row r="55" spans="1:10" x14ac:dyDescent="0.25">
      <c r="A55" s="37"/>
      <c r="B55" s="2"/>
      <c r="C55" s="2"/>
      <c r="D55" s="12" t="str">
        <f>_xlfn.IFNA(VLOOKUP($B55,'CPWNY Perf Network 032017'!$A$2:$AI$2197,18,FALSE),"")</f>
        <v/>
      </c>
      <c r="E55" s="12" t="str">
        <f>_xlfn.IFNA(VLOOKUP($B55,'CPWNY Perf Network 032017'!$A$2:$AI$2197,13,FALSE),"")</f>
        <v/>
      </c>
      <c r="F55" s="12" t="str">
        <f>_xlfn.IFNA(VLOOKUP($B55,'CPWNY Perf Network 032017'!$A$2:$AI$2197,12,FALSE),"")</f>
        <v/>
      </c>
      <c r="G55" s="2"/>
      <c r="H55" s="2"/>
      <c r="I55" s="2"/>
      <c r="J55" s="5">
        <f t="shared" si="12"/>
        <v>0</v>
      </c>
    </row>
    <row r="56" spans="1:10" x14ac:dyDescent="0.25">
      <c r="A56" s="37"/>
      <c r="B56" s="2"/>
      <c r="C56" s="2"/>
      <c r="D56" s="12" t="str">
        <f>_xlfn.IFNA(VLOOKUP($B56,'CPWNY Perf Network 032017'!$A$2:$AI$2197,18,FALSE),"")</f>
        <v/>
      </c>
      <c r="E56" s="12" t="str">
        <f>_xlfn.IFNA(VLOOKUP($B56,'CPWNY Perf Network 032017'!$A$2:$AI$2197,13,FALSE),"")</f>
        <v/>
      </c>
      <c r="F56" s="12" t="str">
        <f>_xlfn.IFNA(VLOOKUP($B56,'CPWNY Perf Network 032017'!$A$2:$AI$2197,12,FALSE),"")</f>
        <v/>
      </c>
      <c r="G56" s="2"/>
      <c r="H56" s="2"/>
      <c r="I56" s="2"/>
      <c r="J56" s="5">
        <f t="shared" si="12"/>
        <v>0</v>
      </c>
    </row>
    <row r="57" spans="1:10" x14ac:dyDescent="0.25">
      <c r="A57" s="37"/>
      <c r="B57" s="2"/>
      <c r="C57" s="2"/>
      <c r="D57" s="12" t="str">
        <f>_xlfn.IFNA(VLOOKUP($B57,'CPWNY Perf Network 032017'!$A$2:$AI$2197,18,FALSE),"")</f>
        <v/>
      </c>
      <c r="E57" s="12" t="str">
        <f>_xlfn.IFNA(VLOOKUP($B57,'CPWNY Perf Network 032017'!$A$2:$AI$2197,13,FALSE),"")</f>
        <v/>
      </c>
      <c r="F57" s="12" t="str">
        <f>_xlfn.IFNA(VLOOKUP($B57,'CPWNY Perf Network 032017'!$A$2:$AI$2197,12,FALSE),"")</f>
        <v/>
      </c>
      <c r="G57" s="2"/>
      <c r="H57" s="2"/>
      <c r="I57" s="2"/>
      <c r="J57" s="5">
        <f t="shared" si="12"/>
        <v>0</v>
      </c>
    </row>
    <row r="58" spans="1:10" x14ac:dyDescent="0.25">
      <c r="A58" s="37"/>
      <c r="B58" s="2"/>
      <c r="C58" s="2"/>
      <c r="D58" s="12" t="str">
        <f>_xlfn.IFNA(VLOOKUP($B58,'CPWNY Perf Network 032017'!$A$2:$AI$2197,18,FALSE),"")</f>
        <v/>
      </c>
      <c r="E58" s="12" t="str">
        <f>_xlfn.IFNA(VLOOKUP($B58,'CPWNY Perf Network 032017'!$A$2:$AI$2197,13,FALSE),"")</f>
        <v/>
      </c>
      <c r="F58" s="12" t="str">
        <f>_xlfn.IFNA(VLOOKUP($B58,'CPWNY Perf Network 032017'!$A$2:$AI$2197,12,FALSE),"")</f>
        <v/>
      </c>
      <c r="G58" s="2"/>
      <c r="H58" s="2"/>
      <c r="I58" s="2"/>
      <c r="J58" s="5">
        <f t="shared" si="12"/>
        <v>0</v>
      </c>
    </row>
    <row r="59" spans="1:10" x14ac:dyDescent="0.25">
      <c r="A59" s="37"/>
      <c r="B59" s="35" t="s">
        <v>29</v>
      </c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9"/>
      <c r="B60" s="10"/>
      <c r="C60" s="10"/>
      <c r="D60" s="10"/>
      <c r="E60" s="10"/>
      <c r="F60" s="10"/>
      <c r="G60" s="10"/>
      <c r="H60" s="15">
        <f>SUM(H53:H58)</f>
        <v>0</v>
      </c>
      <c r="I60" s="15">
        <f t="shared" ref="I60:J60" si="13">SUM(I53:I58)</f>
        <v>0</v>
      </c>
      <c r="J60" s="15">
        <f t="shared" si="13"/>
        <v>0</v>
      </c>
    </row>
    <row r="61" spans="1:10" x14ac:dyDescent="0.25">
      <c r="A61" s="37" t="s">
        <v>12</v>
      </c>
      <c r="B61" s="2"/>
      <c r="C61" s="2"/>
      <c r="D61" s="12" t="str">
        <f>_xlfn.IFNA(VLOOKUP($B61,'CPWNY Perf Network 032017'!$A$2:$AI$2197,18,FALSE),"")</f>
        <v/>
      </c>
      <c r="E61" s="12" t="str">
        <f>_xlfn.IFNA(VLOOKUP($B61,'CPWNY Perf Network 032017'!$A$2:$AI$2197,13,FALSE),"")</f>
        <v/>
      </c>
      <c r="F61" s="12" t="str">
        <f>_xlfn.IFNA(VLOOKUP($B61,'CPWNY Perf Network 032017'!$A$2:$AI$2197,12,FALSE),"")</f>
        <v/>
      </c>
      <c r="G61" s="2"/>
      <c r="H61" s="2"/>
      <c r="I61" s="2"/>
      <c r="J61" s="5">
        <f>H61+I61</f>
        <v>0</v>
      </c>
    </row>
    <row r="62" spans="1:10" x14ac:dyDescent="0.25">
      <c r="A62" s="37"/>
      <c r="B62" s="2"/>
      <c r="C62" s="2"/>
      <c r="D62" s="12" t="str">
        <f>_xlfn.IFNA(VLOOKUP($B62,'CPWNY Perf Network 032017'!$A$2:$AI$2197,18,FALSE),"")</f>
        <v/>
      </c>
      <c r="E62" s="12" t="str">
        <f>_xlfn.IFNA(VLOOKUP($B62,'CPWNY Perf Network 032017'!$A$2:$AI$2197,13,FALSE),"")</f>
        <v/>
      </c>
      <c r="F62" s="12" t="str">
        <f>_xlfn.IFNA(VLOOKUP($B62,'CPWNY Perf Network 032017'!$A$2:$AI$2197,12,FALSE),"")</f>
        <v/>
      </c>
      <c r="G62" s="2"/>
      <c r="H62" s="2"/>
      <c r="I62" s="2"/>
      <c r="J62" s="5">
        <f t="shared" ref="J62:J66" si="14">H62+I62</f>
        <v>0</v>
      </c>
    </row>
    <row r="63" spans="1:10" x14ac:dyDescent="0.25">
      <c r="A63" s="37"/>
      <c r="B63" s="2"/>
      <c r="C63" s="2"/>
      <c r="D63" s="12" t="str">
        <f>_xlfn.IFNA(VLOOKUP($B63,'CPWNY Perf Network 032017'!$A$2:$AI$2197,18,FALSE),"")</f>
        <v/>
      </c>
      <c r="E63" s="12" t="str">
        <f>_xlfn.IFNA(VLOOKUP($B63,'CPWNY Perf Network 032017'!$A$2:$AI$2197,13,FALSE),"")</f>
        <v/>
      </c>
      <c r="F63" s="12" t="str">
        <f>_xlfn.IFNA(VLOOKUP($B63,'CPWNY Perf Network 032017'!$A$2:$AI$2197,12,FALSE),"")</f>
        <v/>
      </c>
      <c r="G63" s="2"/>
      <c r="H63" s="2"/>
      <c r="I63" s="2"/>
      <c r="J63" s="5">
        <f t="shared" si="14"/>
        <v>0</v>
      </c>
    </row>
    <row r="64" spans="1:10" x14ac:dyDescent="0.25">
      <c r="A64" s="37"/>
      <c r="B64" s="2"/>
      <c r="C64" s="2"/>
      <c r="D64" s="12" t="str">
        <f>_xlfn.IFNA(VLOOKUP($B64,'CPWNY Perf Network 032017'!$A$2:$AI$2197,18,FALSE),"")</f>
        <v/>
      </c>
      <c r="E64" s="12" t="str">
        <f>_xlfn.IFNA(VLOOKUP($B64,'CPWNY Perf Network 032017'!$A$2:$AI$2197,13,FALSE),"")</f>
        <v/>
      </c>
      <c r="F64" s="12" t="str">
        <f>_xlfn.IFNA(VLOOKUP($B64,'CPWNY Perf Network 032017'!$A$2:$AI$2197,12,FALSE),"")</f>
        <v/>
      </c>
      <c r="G64" s="2"/>
      <c r="H64" s="2"/>
      <c r="I64" s="2"/>
      <c r="J64" s="5">
        <f t="shared" si="14"/>
        <v>0</v>
      </c>
    </row>
    <row r="65" spans="1:12" x14ac:dyDescent="0.25">
      <c r="A65" s="37"/>
      <c r="B65" s="2"/>
      <c r="C65" s="2"/>
      <c r="D65" s="12" t="str">
        <f>_xlfn.IFNA(VLOOKUP($B65,'CPWNY Perf Network 032017'!$A$2:$AI$2197,18,FALSE),"")</f>
        <v/>
      </c>
      <c r="E65" s="12" t="str">
        <f>_xlfn.IFNA(VLOOKUP($B65,'CPWNY Perf Network 032017'!$A$2:$AI$2197,13,FALSE),"")</f>
        <v/>
      </c>
      <c r="F65" s="12" t="str">
        <f>_xlfn.IFNA(VLOOKUP($B65,'CPWNY Perf Network 032017'!$A$2:$AI$2197,12,FALSE),"")</f>
        <v/>
      </c>
      <c r="G65" s="2"/>
      <c r="H65" s="2"/>
      <c r="I65" s="2"/>
      <c r="J65" s="5">
        <f t="shared" si="14"/>
        <v>0</v>
      </c>
    </row>
    <row r="66" spans="1:12" x14ac:dyDescent="0.25">
      <c r="A66" s="37"/>
      <c r="B66" s="2"/>
      <c r="C66" s="2"/>
      <c r="D66" s="12" t="str">
        <f>_xlfn.IFNA(VLOOKUP($B66,'CPWNY Perf Network 032017'!$A$2:$AI$2197,18,FALSE),"")</f>
        <v/>
      </c>
      <c r="E66" s="12" t="str">
        <f>_xlfn.IFNA(VLOOKUP($B66,'CPWNY Perf Network 032017'!$A$2:$AI$2197,13,FALSE),"")</f>
        <v/>
      </c>
      <c r="F66" s="12" t="str">
        <f>_xlfn.IFNA(VLOOKUP($B66,'CPWNY Perf Network 032017'!$A$2:$AI$2197,12,FALSE),"")</f>
        <v/>
      </c>
      <c r="G66" s="2"/>
      <c r="H66" s="2"/>
      <c r="I66" s="2"/>
      <c r="J66" s="5">
        <f t="shared" si="14"/>
        <v>0</v>
      </c>
    </row>
    <row r="67" spans="1:12" x14ac:dyDescent="0.25">
      <c r="A67" s="37"/>
      <c r="B67" s="35" t="s">
        <v>29</v>
      </c>
      <c r="C67" s="36"/>
      <c r="D67" s="36"/>
      <c r="E67" s="36"/>
      <c r="F67" s="36"/>
      <c r="G67" s="36"/>
      <c r="H67" s="36"/>
      <c r="I67" s="36"/>
      <c r="J67" s="36"/>
    </row>
    <row r="68" spans="1:12" x14ac:dyDescent="0.25">
      <c r="A68" s="9"/>
      <c r="B68" s="10"/>
      <c r="C68" s="10"/>
      <c r="D68" s="10"/>
      <c r="E68" s="10"/>
      <c r="F68" s="10"/>
      <c r="G68" s="10"/>
      <c r="H68" s="15">
        <f>SUM(H61:H66)</f>
        <v>0</v>
      </c>
      <c r="I68" s="15">
        <f t="shared" ref="I68:J68" si="15">SUM(I61:I66)</f>
        <v>0</v>
      </c>
      <c r="J68" s="15">
        <f t="shared" si="15"/>
        <v>0</v>
      </c>
    </row>
    <row r="69" spans="1:12" x14ac:dyDescent="0.25">
      <c r="A69" s="37" t="s">
        <v>13</v>
      </c>
      <c r="B69" s="2"/>
      <c r="C69" s="2"/>
      <c r="D69" s="12" t="str">
        <f>_xlfn.IFNA(VLOOKUP($B69,'CPWNY Perf Network 032017'!$A$2:$AI$2197,18,FALSE),"")</f>
        <v/>
      </c>
      <c r="E69" s="12" t="str">
        <f>_xlfn.IFNA(VLOOKUP($B69,'CPWNY Perf Network 032017'!$A$2:$AI$2197,13,FALSE),"")</f>
        <v/>
      </c>
      <c r="F69" s="12" t="str">
        <f>_xlfn.IFNA(VLOOKUP($B69,'CPWNY Perf Network 032017'!$A$2:$AI$2197,12,FALSE),"")</f>
        <v/>
      </c>
      <c r="G69" s="2"/>
      <c r="H69" s="2"/>
      <c r="I69" s="2"/>
      <c r="J69" s="5">
        <f>H69+I69</f>
        <v>0</v>
      </c>
    </row>
    <row r="70" spans="1:12" x14ac:dyDescent="0.25">
      <c r="A70" s="37"/>
      <c r="B70" s="2"/>
      <c r="C70" s="2"/>
      <c r="D70" s="12" t="str">
        <f>_xlfn.IFNA(VLOOKUP($B70,'CPWNY Perf Network 032017'!$A$2:$AI$2197,18,FALSE),"")</f>
        <v/>
      </c>
      <c r="E70" s="12" t="str">
        <f>_xlfn.IFNA(VLOOKUP($B70,'CPWNY Perf Network 032017'!$A$2:$AI$2197,13,FALSE),"")</f>
        <v/>
      </c>
      <c r="F70" s="12" t="str">
        <f>_xlfn.IFNA(VLOOKUP($B70,'CPWNY Perf Network 032017'!$A$2:$AI$2197,12,FALSE),"")</f>
        <v/>
      </c>
      <c r="G70" s="2"/>
      <c r="H70" s="2"/>
      <c r="I70" s="2"/>
      <c r="J70" s="5">
        <f t="shared" ref="J70:J74" si="16">H70+I70</f>
        <v>0</v>
      </c>
    </row>
    <row r="71" spans="1:12" x14ac:dyDescent="0.25">
      <c r="A71" s="37"/>
      <c r="B71" s="2"/>
      <c r="C71" s="2"/>
      <c r="D71" s="12" t="str">
        <f>_xlfn.IFNA(VLOOKUP($B71,'CPWNY Perf Network 032017'!$A$2:$AI$2197,18,FALSE),"")</f>
        <v/>
      </c>
      <c r="E71" s="12" t="str">
        <f>_xlfn.IFNA(VLOOKUP($B71,'CPWNY Perf Network 032017'!$A$2:$AI$2197,13,FALSE),"")</f>
        <v/>
      </c>
      <c r="F71" s="12" t="str">
        <f>_xlfn.IFNA(VLOOKUP($B71,'CPWNY Perf Network 032017'!$A$2:$AI$2197,12,FALSE),"")</f>
        <v/>
      </c>
      <c r="G71" s="2"/>
      <c r="H71" s="2"/>
      <c r="I71" s="2"/>
      <c r="J71" s="5">
        <f t="shared" si="16"/>
        <v>0</v>
      </c>
    </row>
    <row r="72" spans="1:12" x14ac:dyDescent="0.25">
      <c r="A72" s="37"/>
      <c r="B72" s="2"/>
      <c r="C72" s="2"/>
      <c r="D72" s="12" t="str">
        <f>_xlfn.IFNA(VLOOKUP($B72,'CPWNY Perf Network 032017'!$A$2:$AI$2197,18,FALSE),"")</f>
        <v/>
      </c>
      <c r="E72" s="12" t="str">
        <f>_xlfn.IFNA(VLOOKUP($B72,'CPWNY Perf Network 032017'!$A$2:$AI$2197,13,FALSE),"")</f>
        <v/>
      </c>
      <c r="F72" s="12" t="str">
        <f>_xlfn.IFNA(VLOOKUP($B72,'CPWNY Perf Network 032017'!$A$2:$AI$2197,12,FALSE),"")</f>
        <v/>
      </c>
      <c r="G72" s="2"/>
      <c r="H72" s="2"/>
      <c r="I72" s="2"/>
      <c r="J72" s="5">
        <f t="shared" si="16"/>
        <v>0</v>
      </c>
    </row>
    <row r="73" spans="1:12" x14ac:dyDescent="0.25">
      <c r="A73" s="37"/>
      <c r="B73" s="2"/>
      <c r="C73" s="2"/>
      <c r="D73" s="12" t="str">
        <f>_xlfn.IFNA(VLOOKUP($B73,'CPWNY Perf Network 032017'!$A$2:$AI$2197,18,FALSE),"")</f>
        <v/>
      </c>
      <c r="E73" s="12" t="str">
        <f>_xlfn.IFNA(VLOOKUP($B73,'CPWNY Perf Network 032017'!$A$2:$AI$2197,13,FALSE),"")</f>
        <v/>
      </c>
      <c r="F73" s="12" t="str">
        <f>_xlfn.IFNA(VLOOKUP($B73,'CPWNY Perf Network 032017'!$A$2:$AI$2197,12,FALSE),"")</f>
        <v/>
      </c>
      <c r="G73" s="2"/>
      <c r="H73" s="2"/>
      <c r="I73" s="2"/>
      <c r="J73" s="5">
        <f t="shared" si="16"/>
        <v>0</v>
      </c>
    </row>
    <row r="74" spans="1:12" x14ac:dyDescent="0.25">
      <c r="A74" s="37"/>
      <c r="B74" s="2"/>
      <c r="C74" s="2"/>
      <c r="D74" s="12" t="str">
        <f>_xlfn.IFNA(VLOOKUP($B74,'CPWNY Perf Network 032017'!$A$2:$AI$2197,18,FALSE),"")</f>
        <v/>
      </c>
      <c r="E74" s="12" t="str">
        <f>_xlfn.IFNA(VLOOKUP($B74,'CPWNY Perf Network 032017'!$A$2:$AI$2197,13,FALSE),"")</f>
        <v/>
      </c>
      <c r="F74" s="12" t="str">
        <f>_xlfn.IFNA(VLOOKUP($B74,'CPWNY Perf Network 032017'!$A$2:$AI$2197,12,FALSE),"")</f>
        <v/>
      </c>
      <c r="G74" s="2"/>
      <c r="H74" s="2"/>
      <c r="I74" s="2"/>
      <c r="J74" s="5">
        <f t="shared" si="16"/>
        <v>0</v>
      </c>
    </row>
    <row r="75" spans="1:12" x14ac:dyDescent="0.25">
      <c r="A75" s="37"/>
      <c r="B75" s="35" t="s">
        <v>29</v>
      </c>
      <c r="C75" s="36"/>
      <c r="D75" s="36"/>
      <c r="E75" s="36"/>
      <c r="F75" s="36"/>
      <c r="G75" s="36"/>
      <c r="H75" s="36"/>
      <c r="I75" s="36"/>
      <c r="J75" s="36"/>
    </row>
    <row r="76" spans="1:12" x14ac:dyDescent="0.25">
      <c r="A76" s="9"/>
      <c r="B76" s="10"/>
      <c r="C76" s="10"/>
      <c r="D76" s="10"/>
      <c r="E76" s="10"/>
      <c r="F76" s="10"/>
      <c r="G76" s="10"/>
      <c r="H76" s="15">
        <f>SUM(H69:H74)</f>
        <v>0</v>
      </c>
      <c r="I76" s="15">
        <f t="shared" ref="I76:J76" si="17">SUM(I69:I74)</f>
        <v>0</v>
      </c>
      <c r="J76" s="15">
        <f t="shared" si="17"/>
        <v>0</v>
      </c>
    </row>
    <row r="77" spans="1:12" x14ac:dyDescent="0.25">
      <c r="A77" s="37" t="s">
        <v>14</v>
      </c>
      <c r="B77" s="2"/>
      <c r="C77" s="2"/>
      <c r="D77" s="12" t="s">
        <v>3838</v>
      </c>
      <c r="E77" s="12" t="s">
        <v>11128</v>
      </c>
      <c r="F77" s="12" t="s">
        <v>11127</v>
      </c>
      <c r="G77" s="2"/>
      <c r="H77" s="25">
        <v>754091.56980000017</v>
      </c>
      <c r="I77" s="25">
        <v>760148.53020000004</v>
      </c>
      <c r="J77" s="5">
        <f>+I77+H77</f>
        <v>1514240.1</v>
      </c>
      <c r="L77" t="s">
        <v>11129</v>
      </c>
    </row>
    <row r="78" spans="1:12" x14ac:dyDescent="0.25">
      <c r="A78" s="37"/>
      <c r="B78" s="2"/>
      <c r="C78" s="2"/>
      <c r="D78" s="12"/>
      <c r="E78" s="12"/>
      <c r="F78" s="12"/>
      <c r="G78" s="2"/>
      <c r="H78" s="2"/>
      <c r="I78" s="2"/>
      <c r="J78" s="5">
        <f t="shared" ref="J78:J82" si="18">H78+I78</f>
        <v>0</v>
      </c>
    </row>
    <row r="79" spans="1:12" x14ac:dyDescent="0.25">
      <c r="A79" s="37"/>
      <c r="B79" s="2"/>
      <c r="C79" s="2"/>
      <c r="D79" s="12"/>
      <c r="E79" s="12"/>
      <c r="F79" s="12"/>
      <c r="G79" s="2"/>
      <c r="H79" s="2"/>
      <c r="I79" s="2"/>
      <c r="J79" s="5">
        <f t="shared" si="18"/>
        <v>0</v>
      </c>
    </row>
    <row r="80" spans="1:12" x14ac:dyDescent="0.25">
      <c r="A80" s="37"/>
      <c r="B80" s="2"/>
      <c r="C80" s="2"/>
      <c r="D80" s="12"/>
      <c r="E80" s="12"/>
      <c r="F80" s="12"/>
      <c r="G80" s="2"/>
      <c r="H80" s="2"/>
      <c r="I80" s="2"/>
      <c r="J80" s="5">
        <f t="shared" si="18"/>
        <v>0</v>
      </c>
    </row>
    <row r="81" spans="1:10" x14ac:dyDescent="0.25">
      <c r="A81" s="37"/>
      <c r="B81" s="2"/>
      <c r="C81" s="2"/>
      <c r="D81" s="12"/>
      <c r="E81" s="12"/>
      <c r="F81" s="12"/>
      <c r="G81" s="2"/>
      <c r="H81" s="2"/>
      <c r="I81" s="2"/>
      <c r="J81" s="5">
        <f t="shared" si="18"/>
        <v>0</v>
      </c>
    </row>
    <row r="82" spans="1:10" x14ac:dyDescent="0.25">
      <c r="A82" s="37"/>
      <c r="B82" s="2"/>
      <c r="C82" s="2"/>
      <c r="D82" s="12"/>
      <c r="E82" s="12"/>
      <c r="F82" s="12"/>
      <c r="G82" s="2"/>
      <c r="H82" s="2"/>
      <c r="I82" s="2"/>
      <c r="J82" s="5">
        <f t="shared" si="18"/>
        <v>0</v>
      </c>
    </row>
    <row r="83" spans="1:10" x14ac:dyDescent="0.25">
      <c r="A83" s="37"/>
      <c r="B83" s="35" t="s">
        <v>29</v>
      </c>
      <c r="C83" s="36"/>
      <c r="D83" s="36"/>
      <c r="E83" s="36"/>
      <c r="F83" s="36"/>
      <c r="G83" s="36"/>
      <c r="H83" s="36"/>
      <c r="I83" s="36"/>
      <c r="J83" s="36"/>
    </row>
    <row r="84" spans="1:10" x14ac:dyDescent="0.25">
      <c r="A84" s="9"/>
      <c r="B84" s="10"/>
      <c r="C84" s="10"/>
      <c r="D84" s="10"/>
      <c r="E84" s="10"/>
      <c r="F84" s="10"/>
      <c r="G84" s="10"/>
      <c r="H84" s="15">
        <f>SUM(H77:H82)</f>
        <v>754091.56980000017</v>
      </c>
      <c r="I84" s="15">
        <f t="shared" ref="I84:J84" si="19">SUM(I77:I82)</f>
        <v>760148.53020000004</v>
      </c>
      <c r="J84" s="15">
        <f t="shared" si="19"/>
        <v>1514240.1</v>
      </c>
    </row>
    <row r="85" spans="1:10" x14ac:dyDescent="0.25">
      <c r="A85" s="37" t="s">
        <v>15</v>
      </c>
      <c r="B85" s="2"/>
      <c r="C85" s="2"/>
      <c r="D85" s="12" t="str">
        <f>_xlfn.IFNA(VLOOKUP($B85,'CPWNY Perf Network 032017'!$A$2:$AI$2197,18,FALSE),"")</f>
        <v/>
      </c>
      <c r="E85" s="12" t="str">
        <f>_xlfn.IFNA(VLOOKUP($B85,'CPWNY Perf Network 032017'!$A$2:$AI$2197,13,FALSE),"")</f>
        <v/>
      </c>
      <c r="F85" s="12" t="str">
        <f>_xlfn.IFNA(VLOOKUP($B85,'CPWNY Perf Network 032017'!$A$2:$AI$2197,12,FALSE),"")</f>
        <v/>
      </c>
      <c r="G85" s="2"/>
      <c r="H85" s="2"/>
      <c r="I85" s="2"/>
      <c r="J85" s="5">
        <f>H85+I85</f>
        <v>0</v>
      </c>
    </row>
    <row r="86" spans="1:10" x14ac:dyDescent="0.25">
      <c r="A86" s="37"/>
      <c r="B86" s="2"/>
      <c r="C86" s="2"/>
      <c r="D86" s="12" t="str">
        <f>_xlfn.IFNA(VLOOKUP($B86,'CPWNY Perf Network 032017'!$A$2:$AI$2197,18,FALSE),"")</f>
        <v/>
      </c>
      <c r="E86" s="12" t="str">
        <f>_xlfn.IFNA(VLOOKUP($B86,'CPWNY Perf Network 032017'!$A$2:$AI$2197,13,FALSE),"")</f>
        <v/>
      </c>
      <c r="F86" s="12" t="str">
        <f>_xlfn.IFNA(VLOOKUP($B86,'CPWNY Perf Network 032017'!$A$2:$AI$2197,12,FALSE),"")</f>
        <v/>
      </c>
      <c r="G86" s="2"/>
      <c r="H86" s="2"/>
      <c r="I86" s="2"/>
      <c r="J86" s="5">
        <f t="shared" ref="J86:J90" si="20">H86+I86</f>
        <v>0</v>
      </c>
    </row>
    <row r="87" spans="1:10" x14ac:dyDescent="0.25">
      <c r="A87" s="37"/>
      <c r="B87" s="2"/>
      <c r="C87" s="2"/>
      <c r="D87" s="12" t="str">
        <f>_xlfn.IFNA(VLOOKUP($B87,'CPWNY Perf Network 032017'!$A$2:$AI$2197,18,FALSE),"")</f>
        <v/>
      </c>
      <c r="E87" s="12" t="str">
        <f>_xlfn.IFNA(VLOOKUP($B87,'CPWNY Perf Network 032017'!$A$2:$AI$2197,13,FALSE),"")</f>
        <v/>
      </c>
      <c r="F87" s="12" t="str">
        <f>_xlfn.IFNA(VLOOKUP($B87,'CPWNY Perf Network 032017'!$A$2:$AI$2197,12,FALSE),"")</f>
        <v/>
      </c>
      <c r="G87" s="2"/>
      <c r="H87" s="2"/>
      <c r="I87" s="2"/>
      <c r="J87" s="5">
        <f t="shared" si="20"/>
        <v>0</v>
      </c>
    </row>
    <row r="88" spans="1:10" x14ac:dyDescent="0.25">
      <c r="A88" s="37"/>
      <c r="B88" s="2"/>
      <c r="C88" s="2"/>
      <c r="D88" s="12" t="str">
        <f>_xlfn.IFNA(VLOOKUP($B88,'CPWNY Perf Network 032017'!$A$2:$AI$2197,18,FALSE),"")</f>
        <v/>
      </c>
      <c r="E88" s="12" t="str">
        <f>_xlfn.IFNA(VLOOKUP($B88,'CPWNY Perf Network 032017'!$A$2:$AI$2197,13,FALSE),"")</f>
        <v/>
      </c>
      <c r="F88" s="12" t="str">
        <f>_xlfn.IFNA(VLOOKUP($B88,'CPWNY Perf Network 032017'!$A$2:$AI$2197,12,FALSE),"")</f>
        <v/>
      </c>
      <c r="G88" s="2"/>
      <c r="H88" s="2"/>
      <c r="I88" s="2"/>
      <c r="J88" s="5">
        <f t="shared" si="20"/>
        <v>0</v>
      </c>
    </row>
    <row r="89" spans="1:10" x14ac:dyDescent="0.25">
      <c r="A89" s="37"/>
      <c r="B89" s="2"/>
      <c r="C89" s="2"/>
      <c r="D89" s="12" t="str">
        <f>_xlfn.IFNA(VLOOKUP($B89,'CPWNY Perf Network 032017'!$A$2:$AI$2197,18,FALSE),"")</f>
        <v/>
      </c>
      <c r="E89" s="12" t="str">
        <f>_xlfn.IFNA(VLOOKUP($B89,'CPWNY Perf Network 032017'!$A$2:$AI$2197,13,FALSE),"")</f>
        <v/>
      </c>
      <c r="F89" s="12" t="str">
        <f>_xlfn.IFNA(VLOOKUP($B89,'CPWNY Perf Network 032017'!$A$2:$AI$2197,12,FALSE),"")</f>
        <v/>
      </c>
      <c r="G89" s="2"/>
      <c r="H89" s="2"/>
      <c r="I89" s="2"/>
      <c r="J89" s="5">
        <f t="shared" si="20"/>
        <v>0</v>
      </c>
    </row>
    <row r="90" spans="1:10" x14ac:dyDescent="0.25">
      <c r="A90" s="37"/>
      <c r="B90" s="2"/>
      <c r="C90" s="2"/>
      <c r="D90" s="12" t="str">
        <f>_xlfn.IFNA(VLOOKUP($B90,'CPWNY Perf Network 032017'!$A$2:$AI$2197,18,FALSE),"")</f>
        <v/>
      </c>
      <c r="E90" s="12" t="str">
        <f>_xlfn.IFNA(VLOOKUP($B90,'CPWNY Perf Network 032017'!$A$2:$AI$2197,13,FALSE),"")</f>
        <v/>
      </c>
      <c r="F90" s="12" t="str">
        <f>_xlfn.IFNA(VLOOKUP($B90,'CPWNY Perf Network 032017'!$A$2:$AI$2197,12,FALSE),"")</f>
        <v/>
      </c>
      <c r="G90" s="2"/>
      <c r="H90" s="2"/>
      <c r="I90" s="2"/>
      <c r="J90" s="5">
        <f t="shared" si="20"/>
        <v>0</v>
      </c>
    </row>
    <row r="91" spans="1:10" x14ac:dyDescent="0.25">
      <c r="A91" s="37"/>
      <c r="B91" s="35" t="s">
        <v>29</v>
      </c>
      <c r="C91" s="36"/>
      <c r="D91" s="36"/>
      <c r="E91" s="36"/>
      <c r="F91" s="36"/>
      <c r="G91" s="36"/>
      <c r="H91" s="36"/>
      <c r="I91" s="36"/>
      <c r="J91" s="36"/>
    </row>
    <row r="92" spans="1:10" x14ac:dyDescent="0.25">
      <c r="A92" s="9"/>
      <c r="B92" s="10"/>
      <c r="C92" s="10"/>
      <c r="D92" s="10"/>
      <c r="E92" s="10"/>
      <c r="F92" s="10"/>
      <c r="G92" s="10"/>
      <c r="H92" s="15">
        <f>SUM(H85:H90)</f>
        <v>0</v>
      </c>
      <c r="I92" s="15">
        <f t="shared" ref="I92:J92" si="21">SUM(I85:I90)</f>
        <v>0</v>
      </c>
      <c r="J92" s="15">
        <f t="shared" si="21"/>
        <v>0</v>
      </c>
    </row>
    <row r="93" spans="1:10" x14ac:dyDescent="0.25">
      <c r="A93" s="37" t="s">
        <v>16</v>
      </c>
      <c r="B93" s="2"/>
      <c r="C93" s="2"/>
      <c r="D93" s="12" t="str">
        <f>_xlfn.IFNA(VLOOKUP($B93,'CPWNY Perf Network 032017'!$A$2:$AI$2197,18,FALSE),"")</f>
        <v/>
      </c>
      <c r="E93" s="12" t="str">
        <f>_xlfn.IFNA(VLOOKUP($B93,'CPWNY Perf Network 032017'!$A$2:$AI$2197,13,FALSE),"")</f>
        <v/>
      </c>
      <c r="F93" s="12" t="str">
        <f>_xlfn.IFNA(VLOOKUP($B93,'CPWNY Perf Network 032017'!$A$2:$AI$2197,12,FALSE),"")</f>
        <v/>
      </c>
      <c r="G93" s="2"/>
      <c r="H93" s="2"/>
      <c r="I93" s="2"/>
      <c r="J93" s="5">
        <f>H93+I93</f>
        <v>0</v>
      </c>
    </row>
    <row r="94" spans="1:10" x14ac:dyDescent="0.25">
      <c r="A94" s="37"/>
      <c r="B94" s="2"/>
      <c r="C94" s="2"/>
      <c r="D94" s="12" t="str">
        <f>_xlfn.IFNA(VLOOKUP($B94,'CPWNY Perf Network 032017'!$A$2:$AI$2197,18,FALSE),"")</f>
        <v/>
      </c>
      <c r="E94" s="12" t="str">
        <f>_xlfn.IFNA(VLOOKUP($B94,'CPWNY Perf Network 032017'!$A$2:$AI$2197,13,FALSE),"")</f>
        <v/>
      </c>
      <c r="F94" s="12" t="str">
        <f>_xlfn.IFNA(VLOOKUP($B94,'CPWNY Perf Network 032017'!$A$2:$AI$2197,12,FALSE),"")</f>
        <v/>
      </c>
      <c r="G94" s="2"/>
      <c r="H94" s="2"/>
      <c r="I94" s="2"/>
      <c r="J94" s="5">
        <f t="shared" ref="J94:J98" si="22">H94+I94</f>
        <v>0</v>
      </c>
    </row>
    <row r="95" spans="1:10" x14ac:dyDescent="0.25">
      <c r="A95" s="37"/>
      <c r="B95" s="2"/>
      <c r="C95" s="2"/>
      <c r="D95" s="12" t="str">
        <f>_xlfn.IFNA(VLOOKUP($B95,'CPWNY Perf Network 032017'!$A$2:$AI$2197,18,FALSE),"")</f>
        <v/>
      </c>
      <c r="E95" s="12" t="str">
        <f>_xlfn.IFNA(VLOOKUP($B95,'CPWNY Perf Network 032017'!$A$2:$AI$2197,13,FALSE),"")</f>
        <v/>
      </c>
      <c r="F95" s="12" t="str">
        <f>_xlfn.IFNA(VLOOKUP($B95,'CPWNY Perf Network 032017'!$A$2:$AI$2197,12,FALSE),"")</f>
        <v/>
      </c>
      <c r="G95" s="2"/>
      <c r="H95" s="2"/>
      <c r="I95" s="2"/>
      <c r="J95" s="5">
        <f t="shared" si="22"/>
        <v>0</v>
      </c>
    </row>
    <row r="96" spans="1:10" x14ac:dyDescent="0.25">
      <c r="A96" s="37"/>
      <c r="B96" s="2"/>
      <c r="C96" s="2"/>
      <c r="D96" s="12" t="str">
        <f>_xlfn.IFNA(VLOOKUP($B96,'CPWNY Perf Network 032017'!$A$2:$AI$2197,18,FALSE),"")</f>
        <v/>
      </c>
      <c r="E96" s="12" t="str">
        <f>_xlfn.IFNA(VLOOKUP($B96,'CPWNY Perf Network 032017'!$A$2:$AI$2197,13,FALSE),"")</f>
        <v/>
      </c>
      <c r="F96" s="12" t="str">
        <f>_xlfn.IFNA(VLOOKUP($B96,'CPWNY Perf Network 032017'!$A$2:$AI$2197,12,FALSE),"")</f>
        <v/>
      </c>
      <c r="G96" s="2"/>
      <c r="H96" s="2"/>
      <c r="I96" s="2"/>
      <c r="J96" s="5">
        <f t="shared" si="22"/>
        <v>0</v>
      </c>
    </row>
    <row r="97" spans="1:10" x14ac:dyDescent="0.25">
      <c r="A97" s="37"/>
      <c r="B97" s="2"/>
      <c r="C97" s="2"/>
      <c r="D97" s="12" t="str">
        <f>_xlfn.IFNA(VLOOKUP($B97,'CPWNY Perf Network 032017'!$A$2:$AI$2197,18,FALSE),"")</f>
        <v/>
      </c>
      <c r="E97" s="12" t="str">
        <f>_xlfn.IFNA(VLOOKUP($B97,'CPWNY Perf Network 032017'!$A$2:$AI$2197,13,FALSE),"")</f>
        <v/>
      </c>
      <c r="F97" s="12" t="str">
        <f>_xlfn.IFNA(VLOOKUP($B97,'CPWNY Perf Network 032017'!$A$2:$AI$2197,12,FALSE),"")</f>
        <v/>
      </c>
      <c r="G97" s="2"/>
      <c r="H97" s="2"/>
      <c r="I97" s="2"/>
      <c r="J97" s="5">
        <f t="shared" si="22"/>
        <v>0</v>
      </c>
    </row>
    <row r="98" spans="1:10" x14ac:dyDescent="0.25">
      <c r="A98" s="37"/>
      <c r="B98" s="2"/>
      <c r="C98" s="2"/>
      <c r="D98" s="12" t="str">
        <f>_xlfn.IFNA(VLOOKUP($B98,'CPWNY Perf Network 032017'!$A$2:$AI$2197,18,FALSE),"")</f>
        <v/>
      </c>
      <c r="E98" s="12" t="str">
        <f>_xlfn.IFNA(VLOOKUP($B98,'CPWNY Perf Network 032017'!$A$2:$AI$2197,13,FALSE),"")</f>
        <v/>
      </c>
      <c r="F98" s="12" t="str">
        <f>_xlfn.IFNA(VLOOKUP($B98,'CPWNY Perf Network 032017'!$A$2:$AI$2197,12,FALSE),"")</f>
        <v/>
      </c>
      <c r="G98" s="2"/>
      <c r="H98" s="2"/>
      <c r="I98" s="2"/>
      <c r="J98" s="5">
        <f t="shared" si="22"/>
        <v>0</v>
      </c>
    </row>
    <row r="99" spans="1:10" x14ac:dyDescent="0.25">
      <c r="A99" s="37"/>
      <c r="B99" s="35" t="s">
        <v>29</v>
      </c>
      <c r="C99" s="36"/>
      <c r="D99" s="36"/>
      <c r="E99" s="36"/>
      <c r="F99" s="36"/>
      <c r="G99" s="36"/>
      <c r="H99" s="36"/>
      <c r="I99" s="36"/>
      <c r="J99" s="36"/>
    </row>
    <row r="100" spans="1:10" x14ac:dyDescent="0.25">
      <c r="A100" s="9"/>
      <c r="B100" s="10"/>
      <c r="C100" s="10"/>
      <c r="D100" s="10"/>
      <c r="E100" s="10"/>
      <c r="F100" s="10"/>
      <c r="G100" s="10"/>
      <c r="H100" s="15">
        <f>SUM(H93:H98)</f>
        <v>0</v>
      </c>
      <c r="I100" s="15">
        <f t="shared" ref="I100:J100" si="23">SUM(I93:I98)</f>
        <v>0</v>
      </c>
      <c r="J100" s="15">
        <f t="shared" si="23"/>
        <v>0</v>
      </c>
    </row>
    <row r="101" spans="1:10" x14ac:dyDescent="0.25">
      <c r="A101" s="37" t="s">
        <v>17</v>
      </c>
      <c r="B101" s="2"/>
      <c r="C101" s="2"/>
      <c r="D101" s="12" t="str">
        <f>_xlfn.IFNA(VLOOKUP($B101,'CPWNY Perf Network 032017'!$A$2:$AI$2197,18,FALSE),"")</f>
        <v/>
      </c>
      <c r="E101" s="12" t="str">
        <f>_xlfn.IFNA(VLOOKUP($B101,'CPWNY Perf Network 032017'!$A$2:$AI$2197,13,FALSE),"")</f>
        <v/>
      </c>
      <c r="F101" s="12" t="str">
        <f>_xlfn.IFNA(VLOOKUP($B101,'CPWNY Perf Network 032017'!$A$2:$AI$2197,12,FALSE),"")</f>
        <v/>
      </c>
      <c r="G101" s="2"/>
      <c r="H101" s="2"/>
      <c r="I101" s="2"/>
      <c r="J101" s="5">
        <f>H101+I101</f>
        <v>0</v>
      </c>
    </row>
    <row r="102" spans="1:10" x14ac:dyDescent="0.25">
      <c r="A102" s="37"/>
      <c r="B102" s="2"/>
      <c r="C102" s="2"/>
      <c r="D102" s="12" t="str">
        <f>_xlfn.IFNA(VLOOKUP($B102,'CPWNY Perf Network 032017'!$A$2:$AI$2197,18,FALSE),"")</f>
        <v/>
      </c>
      <c r="E102" s="12" t="str">
        <f>_xlfn.IFNA(VLOOKUP($B102,'CPWNY Perf Network 032017'!$A$2:$AI$2197,13,FALSE),"")</f>
        <v/>
      </c>
      <c r="F102" s="12" t="str">
        <f>_xlfn.IFNA(VLOOKUP($B102,'CPWNY Perf Network 032017'!$A$2:$AI$2197,12,FALSE),"")</f>
        <v/>
      </c>
      <c r="G102" s="2"/>
      <c r="H102" s="2"/>
      <c r="I102" s="2"/>
      <c r="J102" s="5">
        <f t="shared" ref="J102:J106" si="24">H102+I102</f>
        <v>0</v>
      </c>
    </row>
    <row r="103" spans="1:10" x14ac:dyDescent="0.25">
      <c r="A103" s="37"/>
      <c r="B103" s="2"/>
      <c r="C103" s="2"/>
      <c r="D103" s="12" t="str">
        <f>_xlfn.IFNA(VLOOKUP($B103,'CPWNY Perf Network 032017'!$A$2:$AI$2197,18,FALSE),"")</f>
        <v/>
      </c>
      <c r="E103" s="12" t="str">
        <f>_xlfn.IFNA(VLOOKUP($B103,'CPWNY Perf Network 032017'!$A$2:$AI$2197,13,FALSE),"")</f>
        <v/>
      </c>
      <c r="F103" s="12" t="str">
        <f>_xlfn.IFNA(VLOOKUP($B103,'CPWNY Perf Network 032017'!$A$2:$AI$2197,12,FALSE),"")</f>
        <v/>
      </c>
      <c r="G103" s="2"/>
      <c r="H103" s="2"/>
      <c r="I103" s="2"/>
      <c r="J103" s="5">
        <f t="shared" si="24"/>
        <v>0</v>
      </c>
    </row>
    <row r="104" spans="1:10" x14ac:dyDescent="0.25">
      <c r="A104" s="37"/>
      <c r="B104" s="2"/>
      <c r="C104" s="2"/>
      <c r="D104" s="12" t="str">
        <f>_xlfn.IFNA(VLOOKUP($B104,'CPWNY Perf Network 032017'!$A$2:$AI$2197,18,FALSE),"")</f>
        <v/>
      </c>
      <c r="E104" s="12" t="str">
        <f>_xlfn.IFNA(VLOOKUP($B104,'CPWNY Perf Network 032017'!$A$2:$AI$2197,13,FALSE),"")</f>
        <v/>
      </c>
      <c r="F104" s="12" t="str">
        <f>_xlfn.IFNA(VLOOKUP($B104,'CPWNY Perf Network 032017'!$A$2:$AI$2197,12,FALSE),"")</f>
        <v/>
      </c>
      <c r="G104" s="2"/>
      <c r="H104" s="2"/>
      <c r="I104" s="2"/>
      <c r="J104" s="5">
        <f t="shared" si="24"/>
        <v>0</v>
      </c>
    </row>
    <row r="105" spans="1:10" x14ac:dyDescent="0.25">
      <c r="A105" s="37"/>
      <c r="B105" s="2"/>
      <c r="C105" s="2"/>
      <c r="D105" s="12" t="str">
        <f>_xlfn.IFNA(VLOOKUP($B105,'CPWNY Perf Network 032017'!$A$2:$AI$2197,18,FALSE),"")</f>
        <v/>
      </c>
      <c r="E105" s="12" t="str">
        <f>_xlfn.IFNA(VLOOKUP($B105,'CPWNY Perf Network 032017'!$A$2:$AI$2197,13,FALSE),"")</f>
        <v/>
      </c>
      <c r="F105" s="12" t="str">
        <f>_xlfn.IFNA(VLOOKUP($B105,'CPWNY Perf Network 032017'!$A$2:$AI$2197,12,FALSE),"")</f>
        <v/>
      </c>
      <c r="G105" s="2"/>
      <c r="H105" s="2"/>
      <c r="I105" s="2"/>
      <c r="J105" s="5">
        <f t="shared" si="24"/>
        <v>0</v>
      </c>
    </row>
    <row r="106" spans="1:10" x14ac:dyDescent="0.25">
      <c r="A106" s="37"/>
      <c r="B106" s="2"/>
      <c r="C106" s="2"/>
      <c r="D106" s="12" t="str">
        <f>_xlfn.IFNA(VLOOKUP($B106,'CPWNY Perf Network 032017'!$A$2:$AI$2197,18,FALSE),"")</f>
        <v/>
      </c>
      <c r="E106" s="12" t="str">
        <f>_xlfn.IFNA(VLOOKUP($B106,'CPWNY Perf Network 032017'!$A$2:$AI$2197,13,FALSE),"")</f>
        <v/>
      </c>
      <c r="F106" s="12" t="str">
        <f>_xlfn.IFNA(VLOOKUP($B106,'CPWNY Perf Network 032017'!$A$2:$AI$2197,12,FALSE),"")</f>
        <v/>
      </c>
      <c r="G106" s="2"/>
      <c r="H106" s="2"/>
      <c r="I106" s="2"/>
      <c r="J106" s="5">
        <f t="shared" si="24"/>
        <v>0</v>
      </c>
    </row>
    <row r="107" spans="1:10" x14ac:dyDescent="0.25">
      <c r="A107" s="37"/>
      <c r="B107" s="35" t="s">
        <v>29</v>
      </c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9"/>
      <c r="B108" s="10"/>
      <c r="C108" s="10"/>
      <c r="D108" s="10"/>
      <c r="E108" s="10"/>
      <c r="F108" s="10"/>
      <c r="G108" s="10"/>
      <c r="H108" s="15">
        <f>SUM(H101:H106)</f>
        <v>0</v>
      </c>
      <c r="I108" s="15">
        <f t="shared" ref="I108:J108" si="25">SUM(I101:I106)</f>
        <v>0</v>
      </c>
      <c r="J108" s="15">
        <f t="shared" si="25"/>
        <v>0</v>
      </c>
    </row>
    <row r="109" spans="1:10" x14ac:dyDescent="0.25">
      <c r="A109" s="37" t="s">
        <v>18</v>
      </c>
      <c r="B109" s="2"/>
      <c r="C109" s="2"/>
      <c r="D109" s="12" t="str">
        <f>_xlfn.IFNA(VLOOKUP($B109,'CPWNY Perf Network 032017'!$A$2:$AI$2197,18,FALSE),"")</f>
        <v/>
      </c>
      <c r="E109" s="12" t="str">
        <f>_xlfn.IFNA(VLOOKUP($B109,'CPWNY Perf Network 032017'!$A$2:$AI$2197,13,FALSE),"")</f>
        <v/>
      </c>
      <c r="F109" s="12" t="str">
        <f>_xlfn.IFNA(VLOOKUP($B109,'CPWNY Perf Network 032017'!$A$2:$AI$2197,12,FALSE),"")</f>
        <v/>
      </c>
      <c r="G109" s="2"/>
      <c r="H109" s="2"/>
      <c r="I109" s="2"/>
      <c r="J109" s="5">
        <f>H109+I109</f>
        <v>0</v>
      </c>
    </row>
    <row r="110" spans="1:10" x14ac:dyDescent="0.25">
      <c r="A110" s="37"/>
      <c r="B110" s="2"/>
      <c r="C110" s="2"/>
      <c r="D110" s="12" t="str">
        <f>_xlfn.IFNA(VLOOKUP($B110,'CPWNY Perf Network 032017'!$A$2:$AI$2197,18,FALSE),"")</f>
        <v/>
      </c>
      <c r="E110" s="12" t="str">
        <f>_xlfn.IFNA(VLOOKUP($B110,'CPWNY Perf Network 032017'!$A$2:$AI$2197,13,FALSE),"")</f>
        <v/>
      </c>
      <c r="F110" s="12" t="str">
        <f>_xlfn.IFNA(VLOOKUP($B110,'CPWNY Perf Network 032017'!$A$2:$AI$2197,12,FALSE),"")</f>
        <v/>
      </c>
      <c r="G110" s="2"/>
      <c r="H110" s="2"/>
      <c r="I110" s="2"/>
      <c r="J110" s="5">
        <f t="shared" ref="J110:J114" si="26">H110+I110</f>
        <v>0</v>
      </c>
    </row>
    <row r="111" spans="1:10" x14ac:dyDescent="0.25">
      <c r="A111" s="37"/>
      <c r="B111" s="2"/>
      <c r="C111" s="2"/>
      <c r="D111" s="12" t="str">
        <f>_xlfn.IFNA(VLOOKUP($B111,'CPWNY Perf Network 032017'!$A$2:$AI$2197,18,FALSE),"")</f>
        <v/>
      </c>
      <c r="E111" s="12" t="str">
        <f>_xlfn.IFNA(VLOOKUP($B111,'CPWNY Perf Network 032017'!$A$2:$AI$2197,13,FALSE),"")</f>
        <v/>
      </c>
      <c r="F111" s="12" t="str">
        <f>_xlfn.IFNA(VLOOKUP($B111,'CPWNY Perf Network 032017'!$A$2:$AI$2197,12,FALSE),"")</f>
        <v/>
      </c>
      <c r="G111" s="2"/>
      <c r="H111" s="2"/>
      <c r="I111" s="2"/>
      <c r="J111" s="5">
        <f t="shared" si="26"/>
        <v>0</v>
      </c>
    </row>
    <row r="112" spans="1:10" x14ac:dyDescent="0.25">
      <c r="A112" s="37"/>
      <c r="B112" s="2"/>
      <c r="C112" s="2"/>
      <c r="D112" s="12" t="str">
        <f>_xlfn.IFNA(VLOOKUP($B112,'CPWNY Perf Network 032017'!$A$2:$AI$2197,18,FALSE),"")</f>
        <v/>
      </c>
      <c r="E112" s="12" t="str">
        <f>_xlfn.IFNA(VLOOKUP($B112,'CPWNY Perf Network 032017'!$A$2:$AI$2197,13,FALSE),"")</f>
        <v/>
      </c>
      <c r="F112" s="12" t="str">
        <f>_xlfn.IFNA(VLOOKUP($B112,'CPWNY Perf Network 032017'!$A$2:$AI$2197,12,FALSE),"")</f>
        <v/>
      </c>
      <c r="G112" s="2"/>
      <c r="H112" s="2"/>
      <c r="I112" s="2"/>
      <c r="J112" s="5">
        <f t="shared" si="26"/>
        <v>0</v>
      </c>
    </row>
    <row r="113" spans="1:10" x14ac:dyDescent="0.25">
      <c r="A113" s="37"/>
      <c r="B113" s="2"/>
      <c r="C113" s="2"/>
      <c r="D113" s="12" t="str">
        <f>_xlfn.IFNA(VLOOKUP($B113,'CPWNY Perf Network 032017'!$A$2:$AI$2197,18,FALSE),"")</f>
        <v/>
      </c>
      <c r="E113" s="12" t="str">
        <f>_xlfn.IFNA(VLOOKUP($B113,'CPWNY Perf Network 032017'!$A$2:$AI$2197,13,FALSE),"")</f>
        <v/>
      </c>
      <c r="F113" s="12" t="str">
        <f>_xlfn.IFNA(VLOOKUP($B113,'CPWNY Perf Network 032017'!$A$2:$AI$2197,12,FALSE),"")</f>
        <v/>
      </c>
      <c r="G113" s="2"/>
      <c r="H113" s="2"/>
      <c r="I113" s="2"/>
      <c r="J113" s="5">
        <f t="shared" si="26"/>
        <v>0</v>
      </c>
    </row>
    <row r="114" spans="1:10" x14ac:dyDescent="0.25">
      <c r="A114" s="37"/>
      <c r="B114" s="2"/>
      <c r="C114" s="2"/>
      <c r="D114" s="12" t="str">
        <f>_xlfn.IFNA(VLOOKUP($B114,'CPWNY Perf Network 032017'!$A$2:$AI$2197,18,FALSE),"")</f>
        <v/>
      </c>
      <c r="E114" s="12" t="str">
        <f>_xlfn.IFNA(VLOOKUP($B114,'CPWNY Perf Network 032017'!$A$2:$AI$2197,13,FALSE),"")</f>
        <v/>
      </c>
      <c r="F114" s="12" t="str">
        <f>_xlfn.IFNA(VLOOKUP($B114,'CPWNY Perf Network 032017'!$A$2:$AI$2197,12,FALSE),"")</f>
        <v/>
      </c>
      <c r="G114" s="2"/>
      <c r="H114" s="2"/>
      <c r="I114" s="2"/>
      <c r="J114" s="5">
        <f t="shared" si="26"/>
        <v>0</v>
      </c>
    </row>
    <row r="115" spans="1:10" x14ac:dyDescent="0.25">
      <c r="A115" s="37"/>
      <c r="B115" s="35" t="s">
        <v>29</v>
      </c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9"/>
      <c r="B116" s="10"/>
      <c r="C116" s="10"/>
      <c r="D116" s="10"/>
      <c r="E116" s="10"/>
      <c r="F116" s="10"/>
      <c r="G116" s="10"/>
      <c r="H116" s="15">
        <f>SUM(H109:H114)</f>
        <v>0</v>
      </c>
      <c r="I116" s="15">
        <f t="shared" ref="I116:J116" si="27">SUM(I109:I114)</f>
        <v>0</v>
      </c>
      <c r="J116" s="15">
        <f t="shared" si="27"/>
        <v>0</v>
      </c>
    </row>
    <row r="117" spans="1:10" x14ac:dyDescent="0.25">
      <c r="A117" s="37" t="s">
        <v>148</v>
      </c>
      <c r="B117" s="2"/>
      <c r="C117" s="2"/>
      <c r="D117" s="12"/>
      <c r="E117" s="12"/>
      <c r="F117" s="12"/>
      <c r="G117" s="2"/>
      <c r="H117" s="2"/>
      <c r="I117" s="2"/>
      <c r="J117" s="5">
        <f>H117+I117</f>
        <v>0</v>
      </c>
    </row>
    <row r="118" spans="1:10" x14ac:dyDescent="0.25">
      <c r="A118" s="37"/>
      <c r="B118" s="2"/>
      <c r="C118" s="2"/>
      <c r="D118" s="12"/>
      <c r="E118" s="12"/>
      <c r="F118" s="12"/>
      <c r="G118" s="2"/>
      <c r="H118" s="2"/>
      <c r="I118" s="2"/>
      <c r="J118" s="5">
        <f t="shared" ref="J118:J122" si="28">H118+I118</f>
        <v>0</v>
      </c>
    </row>
    <row r="119" spans="1:10" x14ac:dyDescent="0.25">
      <c r="A119" s="37"/>
      <c r="B119" s="2"/>
      <c r="C119" s="2"/>
      <c r="D119" s="12"/>
      <c r="E119" s="12"/>
      <c r="F119" s="12"/>
      <c r="G119" s="2"/>
      <c r="H119" s="2"/>
      <c r="I119" s="2"/>
      <c r="J119" s="5">
        <f t="shared" si="28"/>
        <v>0</v>
      </c>
    </row>
    <row r="120" spans="1:10" x14ac:dyDescent="0.25">
      <c r="A120" s="37"/>
      <c r="B120" s="2"/>
      <c r="C120" s="2"/>
      <c r="D120" s="12"/>
      <c r="E120" s="12"/>
      <c r="F120" s="12"/>
      <c r="G120" s="2"/>
      <c r="H120" s="2"/>
      <c r="I120" s="2"/>
      <c r="J120" s="5">
        <f t="shared" si="28"/>
        <v>0</v>
      </c>
    </row>
    <row r="121" spans="1:10" x14ac:dyDescent="0.25">
      <c r="A121" s="37"/>
      <c r="B121" s="2"/>
      <c r="C121" s="2"/>
      <c r="D121" s="12"/>
      <c r="E121" s="12"/>
      <c r="F121" s="12"/>
      <c r="G121" s="2"/>
      <c r="H121" s="2"/>
      <c r="I121" s="2"/>
      <c r="J121" s="5">
        <f t="shared" si="28"/>
        <v>0</v>
      </c>
    </row>
    <row r="122" spans="1:10" x14ac:dyDescent="0.25">
      <c r="A122" s="37"/>
      <c r="B122" s="2"/>
      <c r="C122" s="2"/>
      <c r="D122" s="12"/>
      <c r="E122" s="12"/>
      <c r="F122" s="12"/>
      <c r="G122" s="2"/>
      <c r="H122" s="2"/>
      <c r="I122" s="2"/>
      <c r="J122" s="5">
        <f t="shared" si="28"/>
        <v>0</v>
      </c>
    </row>
    <row r="123" spans="1:10" x14ac:dyDescent="0.25">
      <c r="A123" s="37"/>
      <c r="B123" s="35" t="s">
        <v>29</v>
      </c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9"/>
      <c r="B124" s="10"/>
      <c r="C124" s="10"/>
      <c r="D124" s="10"/>
      <c r="E124" s="10"/>
      <c r="F124" s="10"/>
      <c r="G124" s="10"/>
      <c r="H124" s="15">
        <f>SUM(H117:H122)</f>
        <v>0</v>
      </c>
      <c r="I124" s="15">
        <f t="shared" ref="I124:J124" si="29">SUM(I117:I122)</f>
        <v>0</v>
      </c>
      <c r="J124" s="15">
        <f t="shared" si="29"/>
        <v>0</v>
      </c>
    </row>
    <row r="125" spans="1:10" x14ac:dyDescent="0.25">
      <c r="A125" s="37" t="s">
        <v>19</v>
      </c>
      <c r="B125" s="2"/>
      <c r="C125" s="2"/>
      <c r="D125" s="12" t="str">
        <f>_xlfn.IFNA(VLOOKUP($B125,'CPWNY Perf Network 032017'!$A$2:$AI$2197,18,FALSE),"")</f>
        <v/>
      </c>
      <c r="E125" s="12" t="str">
        <f>_xlfn.IFNA(VLOOKUP($B125,'CPWNY Perf Network 032017'!$A$2:$AI$2197,13,FALSE),"")</f>
        <v/>
      </c>
      <c r="F125" s="12" t="str">
        <f>_xlfn.IFNA(VLOOKUP($B125,'CPWNY Perf Network 032017'!$A$2:$AI$2197,12,FALSE),"")</f>
        <v/>
      </c>
      <c r="G125" s="2"/>
      <c r="H125" s="2"/>
      <c r="I125" s="2"/>
      <c r="J125" s="5">
        <f>H125+I125</f>
        <v>0</v>
      </c>
    </row>
    <row r="126" spans="1:10" x14ac:dyDescent="0.25">
      <c r="A126" s="37"/>
      <c r="B126" s="2"/>
      <c r="C126" s="2"/>
      <c r="D126" s="12" t="str">
        <f>_xlfn.IFNA(VLOOKUP($B126,'CPWNY Perf Network 032017'!$A$2:$AI$2197,18,FALSE),"")</f>
        <v/>
      </c>
      <c r="E126" s="12" t="str">
        <f>_xlfn.IFNA(VLOOKUP($B126,'CPWNY Perf Network 032017'!$A$2:$AI$2197,13,FALSE),"")</f>
        <v/>
      </c>
      <c r="F126" s="12" t="str">
        <f>_xlfn.IFNA(VLOOKUP($B126,'CPWNY Perf Network 032017'!$A$2:$AI$2197,12,FALSE),"")</f>
        <v/>
      </c>
      <c r="G126" s="2"/>
      <c r="H126" s="2"/>
      <c r="I126" s="2"/>
      <c r="J126" s="5">
        <f t="shared" ref="J126:J130" si="30">H126+I126</f>
        <v>0</v>
      </c>
    </row>
    <row r="127" spans="1:10" x14ac:dyDescent="0.25">
      <c r="A127" s="37"/>
      <c r="B127" s="2"/>
      <c r="C127" s="2"/>
      <c r="D127" s="12" t="str">
        <f>_xlfn.IFNA(VLOOKUP($B127,'CPWNY Perf Network 032017'!$A$2:$AI$2197,18,FALSE),"")</f>
        <v/>
      </c>
      <c r="E127" s="12" t="str">
        <f>_xlfn.IFNA(VLOOKUP($B127,'CPWNY Perf Network 032017'!$A$2:$AI$2197,13,FALSE),"")</f>
        <v/>
      </c>
      <c r="F127" s="12" t="str">
        <f>_xlfn.IFNA(VLOOKUP($B127,'CPWNY Perf Network 032017'!$A$2:$AI$2197,12,FALSE),"")</f>
        <v/>
      </c>
      <c r="G127" s="2"/>
      <c r="H127" s="2"/>
      <c r="I127" s="2"/>
      <c r="J127" s="5">
        <f t="shared" si="30"/>
        <v>0</v>
      </c>
    </row>
    <row r="128" spans="1:10" x14ac:dyDescent="0.25">
      <c r="A128" s="37"/>
      <c r="B128" s="2"/>
      <c r="C128" s="2"/>
      <c r="D128" s="12" t="str">
        <f>_xlfn.IFNA(VLOOKUP($B128,'CPWNY Perf Network 032017'!$A$2:$AI$2197,18,FALSE),"")</f>
        <v/>
      </c>
      <c r="E128" s="12" t="str">
        <f>_xlfn.IFNA(VLOOKUP($B128,'CPWNY Perf Network 032017'!$A$2:$AI$2197,13,FALSE),"")</f>
        <v/>
      </c>
      <c r="F128" s="12" t="str">
        <f>_xlfn.IFNA(VLOOKUP($B128,'CPWNY Perf Network 032017'!$A$2:$AI$2197,12,FALSE),"")</f>
        <v/>
      </c>
      <c r="G128" s="2"/>
      <c r="H128" s="2"/>
      <c r="I128" s="2"/>
      <c r="J128" s="5">
        <f t="shared" si="30"/>
        <v>0</v>
      </c>
    </row>
    <row r="129" spans="1:10" x14ac:dyDescent="0.25">
      <c r="A129" s="37"/>
      <c r="B129" s="2"/>
      <c r="C129" s="2"/>
      <c r="D129" s="12" t="str">
        <f>_xlfn.IFNA(VLOOKUP($B129,'CPWNY Perf Network 032017'!$A$2:$AI$2197,18,FALSE),"")</f>
        <v/>
      </c>
      <c r="E129" s="12" t="str">
        <f>_xlfn.IFNA(VLOOKUP($B129,'CPWNY Perf Network 032017'!$A$2:$AI$2197,13,FALSE),"")</f>
        <v/>
      </c>
      <c r="F129" s="12" t="str">
        <f>_xlfn.IFNA(VLOOKUP($B129,'CPWNY Perf Network 032017'!$A$2:$AI$2197,12,FALSE),"")</f>
        <v/>
      </c>
      <c r="G129" s="2"/>
      <c r="H129" s="2"/>
      <c r="I129" s="2"/>
      <c r="J129" s="5">
        <f t="shared" si="30"/>
        <v>0</v>
      </c>
    </row>
    <row r="130" spans="1:10" x14ac:dyDescent="0.25">
      <c r="A130" s="37"/>
      <c r="B130" s="2"/>
      <c r="C130" s="2"/>
      <c r="D130" s="12" t="str">
        <f>_xlfn.IFNA(VLOOKUP($B130,'CPWNY Perf Network 032017'!$A$2:$AI$2197,18,FALSE),"")</f>
        <v/>
      </c>
      <c r="E130" s="12" t="str">
        <f>_xlfn.IFNA(VLOOKUP($B130,'CPWNY Perf Network 032017'!$A$2:$AI$2197,13,FALSE),"")</f>
        <v/>
      </c>
      <c r="F130" s="12" t="str">
        <f>_xlfn.IFNA(VLOOKUP($B130,'CPWNY Perf Network 032017'!$A$2:$AI$2197,12,FALSE),"")</f>
        <v/>
      </c>
      <c r="G130" s="2"/>
      <c r="H130" s="2"/>
      <c r="I130" s="2"/>
      <c r="J130" s="5">
        <f t="shared" si="30"/>
        <v>0</v>
      </c>
    </row>
    <row r="131" spans="1:10" x14ac:dyDescent="0.25">
      <c r="A131" s="37"/>
      <c r="B131" s="35" t="s">
        <v>29</v>
      </c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9"/>
      <c r="B132" s="10"/>
      <c r="C132" s="10"/>
      <c r="D132" s="10"/>
      <c r="E132" s="10"/>
      <c r="F132" s="10"/>
      <c r="G132" s="10"/>
      <c r="H132" s="15">
        <f>SUM(H125:H130)</f>
        <v>0</v>
      </c>
      <c r="I132" s="15">
        <f t="shared" ref="I132:J132" si="31">SUM(I125:I130)</f>
        <v>0</v>
      </c>
      <c r="J132" s="15">
        <f t="shared" si="31"/>
        <v>0</v>
      </c>
    </row>
    <row r="133" spans="1:10" x14ac:dyDescent="0.25">
      <c r="A133" s="37" t="s">
        <v>19</v>
      </c>
      <c r="B133" s="2"/>
      <c r="C133" s="2"/>
      <c r="D133" s="12" t="str">
        <f>_xlfn.IFNA(VLOOKUP($B133,'CPWNY Perf Network 032017'!$A$2:$AI$2197,18,FALSE),"")</f>
        <v/>
      </c>
      <c r="E133" s="12" t="str">
        <f>_xlfn.IFNA(VLOOKUP($B133,'CPWNY Perf Network 032017'!$A$2:$AI$2197,13,FALSE),"")</f>
        <v/>
      </c>
      <c r="F133" s="12" t="str">
        <f>_xlfn.IFNA(VLOOKUP($B133,'CPWNY Perf Network 032017'!$A$2:$AI$2197,12,FALSE),"")</f>
        <v/>
      </c>
      <c r="G133" s="2"/>
      <c r="H133" s="2"/>
      <c r="I133" s="2"/>
      <c r="J133" s="5">
        <f>H133+I133</f>
        <v>0</v>
      </c>
    </row>
    <row r="134" spans="1:10" x14ac:dyDescent="0.25">
      <c r="A134" s="37"/>
      <c r="B134" s="2"/>
      <c r="C134" s="2"/>
      <c r="D134" s="12" t="str">
        <f>_xlfn.IFNA(VLOOKUP($B134,'CPWNY Perf Network 032017'!$A$2:$AI$2197,18,FALSE),"")</f>
        <v/>
      </c>
      <c r="E134" s="12" t="str">
        <f>_xlfn.IFNA(VLOOKUP($B134,'CPWNY Perf Network 032017'!$A$2:$AI$2197,13,FALSE),"")</f>
        <v/>
      </c>
      <c r="F134" s="12" t="str">
        <f>_xlfn.IFNA(VLOOKUP($B134,'CPWNY Perf Network 032017'!$A$2:$AI$2197,12,FALSE),"")</f>
        <v/>
      </c>
      <c r="G134" s="2"/>
      <c r="H134" s="2"/>
      <c r="I134" s="2"/>
      <c r="J134" s="5">
        <f t="shared" ref="J134:J138" si="32">H134+I134</f>
        <v>0</v>
      </c>
    </row>
    <row r="135" spans="1:10" x14ac:dyDescent="0.25">
      <c r="A135" s="37"/>
      <c r="B135" s="2"/>
      <c r="C135" s="2"/>
      <c r="D135" s="12" t="str">
        <f>_xlfn.IFNA(VLOOKUP($B135,'CPWNY Perf Network 032017'!$A$2:$AI$2197,18,FALSE),"")</f>
        <v/>
      </c>
      <c r="E135" s="12" t="str">
        <f>_xlfn.IFNA(VLOOKUP($B135,'CPWNY Perf Network 032017'!$A$2:$AI$2197,13,FALSE),"")</f>
        <v/>
      </c>
      <c r="F135" s="12" t="str">
        <f>_xlfn.IFNA(VLOOKUP($B135,'CPWNY Perf Network 032017'!$A$2:$AI$2197,12,FALSE),"")</f>
        <v/>
      </c>
      <c r="G135" s="2"/>
      <c r="H135" s="2"/>
      <c r="I135" s="2"/>
      <c r="J135" s="5">
        <f t="shared" si="32"/>
        <v>0</v>
      </c>
    </row>
    <row r="136" spans="1:10" x14ac:dyDescent="0.25">
      <c r="A136" s="37"/>
      <c r="B136" s="2"/>
      <c r="C136" s="2"/>
      <c r="D136" s="12" t="str">
        <f>_xlfn.IFNA(VLOOKUP($B136,'CPWNY Perf Network 032017'!$A$2:$AI$2197,18,FALSE),"")</f>
        <v/>
      </c>
      <c r="E136" s="12" t="str">
        <f>_xlfn.IFNA(VLOOKUP($B136,'CPWNY Perf Network 032017'!$A$2:$AI$2197,13,FALSE),"")</f>
        <v/>
      </c>
      <c r="F136" s="12" t="str">
        <f>_xlfn.IFNA(VLOOKUP($B136,'CPWNY Perf Network 032017'!$A$2:$AI$2197,12,FALSE),"")</f>
        <v/>
      </c>
      <c r="G136" s="2"/>
      <c r="H136" s="2"/>
      <c r="I136" s="2"/>
      <c r="J136" s="5">
        <f t="shared" si="32"/>
        <v>0</v>
      </c>
    </row>
    <row r="137" spans="1:10" x14ac:dyDescent="0.25">
      <c r="A137" s="37"/>
      <c r="B137" s="2"/>
      <c r="C137" s="2"/>
      <c r="D137" s="12" t="str">
        <f>_xlfn.IFNA(VLOOKUP($B137,'CPWNY Perf Network 032017'!$A$2:$AI$2197,18,FALSE),"")</f>
        <v/>
      </c>
      <c r="E137" s="12" t="str">
        <f>_xlfn.IFNA(VLOOKUP($B137,'CPWNY Perf Network 032017'!$A$2:$AI$2197,13,FALSE),"")</f>
        <v/>
      </c>
      <c r="F137" s="12" t="str">
        <f>_xlfn.IFNA(VLOOKUP($B137,'CPWNY Perf Network 032017'!$A$2:$AI$2197,12,FALSE),"")</f>
        <v/>
      </c>
      <c r="G137" s="2"/>
      <c r="H137" s="2"/>
      <c r="I137" s="2"/>
      <c r="J137" s="5">
        <f t="shared" si="32"/>
        <v>0</v>
      </c>
    </row>
    <row r="138" spans="1:10" x14ac:dyDescent="0.25">
      <c r="A138" s="37"/>
      <c r="B138" s="2"/>
      <c r="C138" s="2"/>
      <c r="D138" s="12" t="str">
        <f>_xlfn.IFNA(VLOOKUP($B138,'CPWNY Perf Network 032017'!$A$2:$AI$2197,18,FALSE),"")</f>
        <v/>
      </c>
      <c r="E138" s="12" t="str">
        <f>_xlfn.IFNA(VLOOKUP($B138,'CPWNY Perf Network 032017'!$A$2:$AI$2197,13,FALSE),"")</f>
        <v/>
      </c>
      <c r="F138" s="12" t="str">
        <f>_xlfn.IFNA(VLOOKUP($B138,'CPWNY Perf Network 032017'!$A$2:$AI$2197,12,FALSE),"")</f>
        <v/>
      </c>
      <c r="G138" s="2"/>
      <c r="H138" s="2"/>
      <c r="I138" s="2"/>
      <c r="J138" s="5">
        <f t="shared" si="32"/>
        <v>0</v>
      </c>
    </row>
    <row r="139" spans="1:10" x14ac:dyDescent="0.25">
      <c r="A139" s="37"/>
      <c r="B139" s="35" t="s">
        <v>29</v>
      </c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9"/>
      <c r="B140" s="10"/>
      <c r="C140" s="10"/>
      <c r="D140" s="10"/>
      <c r="E140" s="10"/>
      <c r="F140" s="10"/>
      <c r="G140" s="10"/>
      <c r="H140" s="15">
        <f>SUM(H133:H138)</f>
        <v>0</v>
      </c>
      <c r="I140" s="15">
        <f t="shared" ref="I140:J140" si="33">SUM(I133:I138)</f>
        <v>0</v>
      </c>
      <c r="J140" s="15">
        <f t="shared" si="33"/>
        <v>0</v>
      </c>
    </row>
    <row r="141" spans="1:10" x14ac:dyDescent="0.25">
      <c r="A141" s="37" t="s">
        <v>19</v>
      </c>
      <c r="B141" s="2"/>
      <c r="C141" s="2"/>
      <c r="D141" s="12" t="str">
        <f>_xlfn.IFNA(VLOOKUP($B141,'CPWNY Perf Network 032017'!$A$2:$AI$2197,18,FALSE),"")</f>
        <v/>
      </c>
      <c r="E141" s="12" t="str">
        <f>_xlfn.IFNA(VLOOKUP($B141,'CPWNY Perf Network 032017'!$A$2:$AI$2197,13,FALSE),"")</f>
        <v/>
      </c>
      <c r="F141" s="12" t="str">
        <f>_xlfn.IFNA(VLOOKUP($B141,'CPWNY Perf Network 032017'!$A$2:$AI$2197,12,FALSE),"")</f>
        <v/>
      </c>
      <c r="G141" s="2"/>
      <c r="H141" s="2"/>
      <c r="I141" s="2"/>
      <c r="J141" s="5">
        <f>H141+I141</f>
        <v>0</v>
      </c>
    </row>
    <row r="142" spans="1:10" x14ac:dyDescent="0.25">
      <c r="A142" s="37"/>
      <c r="B142" s="2"/>
      <c r="C142" s="2"/>
      <c r="D142" s="12" t="str">
        <f>_xlfn.IFNA(VLOOKUP($B142,'CPWNY Perf Network 032017'!$A$2:$AI$2197,18,FALSE),"")</f>
        <v/>
      </c>
      <c r="E142" s="12" t="str">
        <f>_xlfn.IFNA(VLOOKUP($B142,'CPWNY Perf Network 032017'!$A$2:$AI$2197,13,FALSE),"")</f>
        <v/>
      </c>
      <c r="F142" s="12" t="str">
        <f>_xlfn.IFNA(VLOOKUP($B142,'CPWNY Perf Network 032017'!$A$2:$AI$2197,12,FALSE),"")</f>
        <v/>
      </c>
      <c r="G142" s="2"/>
      <c r="H142" s="2"/>
      <c r="I142" s="2"/>
      <c r="J142" s="5">
        <f t="shared" ref="J142:J146" si="34">H142+I142</f>
        <v>0</v>
      </c>
    </row>
    <row r="143" spans="1:10" x14ac:dyDescent="0.25">
      <c r="A143" s="37"/>
      <c r="B143" s="2"/>
      <c r="C143" s="2"/>
      <c r="D143" s="12" t="str">
        <f>_xlfn.IFNA(VLOOKUP($B143,'CPWNY Perf Network 032017'!$A$2:$AI$2197,18,FALSE),"")</f>
        <v/>
      </c>
      <c r="E143" s="12" t="str">
        <f>_xlfn.IFNA(VLOOKUP($B143,'CPWNY Perf Network 032017'!$A$2:$AI$2197,13,FALSE),"")</f>
        <v/>
      </c>
      <c r="F143" s="12" t="str">
        <f>_xlfn.IFNA(VLOOKUP($B143,'CPWNY Perf Network 032017'!$A$2:$AI$2197,12,FALSE),"")</f>
        <v/>
      </c>
      <c r="G143" s="2"/>
      <c r="H143" s="2"/>
      <c r="I143" s="2"/>
      <c r="J143" s="5">
        <f t="shared" si="34"/>
        <v>0</v>
      </c>
    </row>
    <row r="144" spans="1:10" x14ac:dyDescent="0.25">
      <c r="A144" s="37"/>
      <c r="B144" s="2"/>
      <c r="C144" s="2"/>
      <c r="D144" s="12" t="str">
        <f>_xlfn.IFNA(VLOOKUP($B144,'CPWNY Perf Network 032017'!$A$2:$AI$2197,18,FALSE),"")</f>
        <v/>
      </c>
      <c r="E144" s="12" t="str">
        <f>_xlfn.IFNA(VLOOKUP($B144,'CPWNY Perf Network 032017'!$A$2:$AI$2197,13,FALSE),"")</f>
        <v/>
      </c>
      <c r="F144" s="12" t="str">
        <f>_xlfn.IFNA(VLOOKUP($B144,'CPWNY Perf Network 032017'!$A$2:$AI$2197,12,FALSE),"")</f>
        <v/>
      </c>
      <c r="G144" s="2"/>
      <c r="H144" s="2"/>
      <c r="I144" s="2"/>
      <c r="J144" s="5">
        <f t="shared" si="34"/>
        <v>0</v>
      </c>
    </row>
    <row r="145" spans="1:10" x14ac:dyDescent="0.25">
      <c r="A145" s="37"/>
      <c r="B145" s="2"/>
      <c r="C145" s="2"/>
      <c r="D145" s="12" t="str">
        <f>_xlfn.IFNA(VLOOKUP($B145,'CPWNY Perf Network 032017'!$A$2:$AI$2197,18,FALSE),"")</f>
        <v/>
      </c>
      <c r="E145" s="12" t="str">
        <f>_xlfn.IFNA(VLOOKUP($B145,'CPWNY Perf Network 032017'!$A$2:$AI$2197,13,FALSE),"")</f>
        <v/>
      </c>
      <c r="F145" s="12" t="str">
        <f>_xlfn.IFNA(VLOOKUP($B145,'CPWNY Perf Network 032017'!$A$2:$AI$2197,12,FALSE),"")</f>
        <v/>
      </c>
      <c r="G145" s="2"/>
      <c r="H145" s="2"/>
      <c r="I145" s="2"/>
      <c r="J145" s="5">
        <f t="shared" si="34"/>
        <v>0</v>
      </c>
    </row>
    <row r="146" spans="1:10" x14ac:dyDescent="0.25">
      <c r="A146" s="37"/>
      <c r="B146" s="2"/>
      <c r="C146" s="2"/>
      <c r="D146" s="12" t="str">
        <f>_xlfn.IFNA(VLOOKUP($B146,'CPWNY Perf Network 032017'!$A$2:$AI$2197,18,FALSE),"")</f>
        <v/>
      </c>
      <c r="E146" s="12" t="str">
        <f>_xlfn.IFNA(VLOOKUP($B146,'CPWNY Perf Network 032017'!$A$2:$AI$2197,13,FALSE),"")</f>
        <v/>
      </c>
      <c r="F146" s="12" t="str">
        <f>_xlfn.IFNA(VLOOKUP($B146,'CPWNY Perf Network 032017'!$A$2:$AI$2197,12,FALSE),"")</f>
        <v/>
      </c>
      <c r="G146" s="2"/>
      <c r="H146" s="2"/>
      <c r="I146" s="2"/>
      <c r="J146" s="5">
        <f t="shared" si="34"/>
        <v>0</v>
      </c>
    </row>
    <row r="147" spans="1:10" x14ac:dyDescent="0.25">
      <c r="A147" s="37"/>
      <c r="B147" s="35" t="s">
        <v>29</v>
      </c>
      <c r="C147" s="36"/>
      <c r="D147" s="36"/>
      <c r="E147" s="36"/>
      <c r="F147" s="36"/>
      <c r="G147" s="36"/>
      <c r="H147" s="36"/>
      <c r="I147" s="36"/>
      <c r="J147" s="36"/>
    </row>
    <row r="148" spans="1:10" x14ac:dyDescent="0.25">
      <c r="A148" s="9"/>
      <c r="B148" s="10"/>
      <c r="C148" s="10"/>
      <c r="D148" s="10"/>
      <c r="E148" s="10"/>
      <c r="F148" s="10"/>
      <c r="G148" s="10"/>
      <c r="H148" s="15">
        <f>SUM(H141:H146)</f>
        <v>0</v>
      </c>
      <c r="I148" s="15">
        <f t="shared" ref="I148:J148" si="35">SUM(I141:I146)</f>
        <v>0</v>
      </c>
      <c r="J148" s="15">
        <f t="shared" si="35"/>
        <v>0</v>
      </c>
    </row>
  </sheetData>
  <sheetProtection algorithmName="SHA-512" hashValue="HwbSxR8acfluWCIv8nwEuKFCZ6A4j7tRxM5OcXuxtGPwrW0KWp1N48HQaePYTBopXzWkwoE1TdD2Yoq+1+D9yg==" saltValue="bRRe2b3TovJKI/Hi7IQnUA==" spinCount="100000" sheet="1" objects="1" scenarios="1"/>
  <mergeCells count="38"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  <mergeCell ref="B83:J83"/>
    <mergeCell ref="A141:A147"/>
    <mergeCell ref="B3:F3"/>
    <mergeCell ref="H3:J3"/>
    <mergeCell ref="B11:J11"/>
    <mergeCell ref="B19:J19"/>
    <mergeCell ref="B27:J27"/>
    <mergeCell ref="B35:J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B43:J43"/>
    <mergeCell ref="B51:J51"/>
    <mergeCell ref="B59:J59"/>
    <mergeCell ref="B67:J67"/>
    <mergeCell ref="B75:J75"/>
    <mergeCell ref="B147:J147"/>
    <mergeCell ref="B91:J91"/>
    <mergeCell ref="B99:J99"/>
    <mergeCell ref="B107:J107"/>
    <mergeCell ref="B115:J115"/>
    <mergeCell ref="B123:J123"/>
    <mergeCell ref="B139:J139"/>
    <mergeCell ref="B131:J1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8"/>
  <sheetViews>
    <sheetView zoomScale="90" zoomScaleNormal="90" workbookViewId="0">
      <pane ySplit="2" topLeftCell="A3" activePane="bottomLeft" state="frozen"/>
      <selection activeCell="B1" sqref="B1"/>
      <selection pane="bottomLeft" activeCell="F2" sqref="F1:G1048576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1" customWidth="1"/>
    <col min="5" max="5" width="53" style="2" bestFit="1" customWidth="1"/>
    <col min="6" max="7" width="14.85546875" style="2" hidden="1" customWidth="1"/>
    <col min="8" max="8" width="49.85546875" style="2" bestFit="1" customWidth="1"/>
    <col min="9" max="9" width="2.7109375" style="21" customWidth="1"/>
    <col min="10" max="10" width="23" style="5" customWidth="1"/>
    <col min="11" max="11" width="2.7109375" style="22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9" t="s">
        <v>11110</v>
      </c>
      <c r="B1" s="40"/>
      <c r="C1" s="41"/>
      <c r="D1" s="16"/>
      <c r="E1" s="42" t="s">
        <v>11111</v>
      </c>
      <c r="F1" s="42"/>
      <c r="G1" s="42"/>
      <c r="H1" s="42"/>
      <c r="I1" s="16"/>
      <c r="J1" s="27" t="s">
        <v>11112</v>
      </c>
      <c r="K1" s="17"/>
      <c r="L1" s="42" t="s">
        <v>11113</v>
      </c>
      <c r="M1" s="42"/>
      <c r="N1" s="42"/>
      <c r="O1" s="42"/>
      <c r="P1" s="42"/>
      <c r="Q1" s="42"/>
      <c r="R1" s="42"/>
      <c r="S1" s="42"/>
      <c r="T1" s="42"/>
      <c r="U1" s="42"/>
    </row>
    <row r="2" spans="1:21" ht="30" x14ac:dyDescent="0.25">
      <c r="A2" s="18" t="s">
        <v>11114</v>
      </c>
      <c r="B2" s="18" t="s">
        <v>11116</v>
      </c>
      <c r="C2" s="18" t="s">
        <v>11115</v>
      </c>
      <c r="D2" s="19"/>
      <c r="E2" s="18" t="s">
        <v>8</v>
      </c>
      <c r="F2" s="18" t="s">
        <v>25</v>
      </c>
      <c r="G2" s="18" t="s">
        <v>41</v>
      </c>
      <c r="H2" s="18" t="s">
        <v>11116</v>
      </c>
      <c r="I2" s="19"/>
      <c r="J2" s="28" t="s">
        <v>11517</v>
      </c>
      <c r="K2" s="20"/>
      <c r="L2" s="18" t="s">
        <v>11117</v>
      </c>
      <c r="M2" s="18" t="s">
        <v>11118</v>
      </c>
      <c r="N2" s="18" t="s">
        <v>11119</v>
      </c>
      <c r="O2" s="18" t="s">
        <v>11120</v>
      </c>
      <c r="P2" s="18" t="s">
        <v>11121</v>
      </c>
      <c r="Q2" s="18" t="s">
        <v>11122</v>
      </c>
      <c r="R2" s="18" t="s">
        <v>11123</v>
      </c>
      <c r="S2" s="18" t="s">
        <v>11124</v>
      </c>
      <c r="T2" s="18" t="s">
        <v>11125</v>
      </c>
      <c r="U2" s="18" t="s">
        <v>11126</v>
      </c>
    </row>
    <row r="3" spans="1:21" x14ac:dyDescent="0.25">
      <c r="B3" s="12" t="s">
        <v>3838</v>
      </c>
      <c r="C3" s="2" t="s">
        <v>11513</v>
      </c>
      <c r="E3" s="30" t="s">
        <v>79</v>
      </c>
      <c r="F3" s="12" t="s">
        <v>11383</v>
      </c>
      <c r="G3" s="2" t="s">
        <v>11537</v>
      </c>
      <c r="H3" s="26" t="s">
        <v>5141</v>
      </c>
      <c r="J3" s="5">
        <v>106.24830000000001</v>
      </c>
    </row>
    <row r="4" spans="1:21" x14ac:dyDescent="0.25">
      <c r="B4" s="12" t="s">
        <v>3838</v>
      </c>
      <c r="C4" s="2" t="s">
        <v>11513</v>
      </c>
      <c r="E4" s="2" t="s">
        <v>79</v>
      </c>
      <c r="F4" s="12" t="s">
        <v>11384</v>
      </c>
      <c r="G4" s="2" t="s">
        <v>11538</v>
      </c>
      <c r="H4" s="26" t="s">
        <v>5150</v>
      </c>
      <c r="J4" s="5">
        <v>318.74490000000003</v>
      </c>
    </row>
    <row r="5" spans="1:21" x14ac:dyDescent="0.25">
      <c r="B5" s="12" t="s">
        <v>3838</v>
      </c>
      <c r="C5" s="2" t="s">
        <v>11513</v>
      </c>
      <c r="E5" s="2" t="s">
        <v>79</v>
      </c>
      <c r="F5" s="12" t="s">
        <v>11385</v>
      </c>
      <c r="G5" s="2" t="s">
        <v>11539</v>
      </c>
      <c r="H5" s="26" t="s">
        <v>9468</v>
      </c>
      <c r="J5" s="5">
        <v>106.24830000000001</v>
      </c>
    </row>
    <row r="6" spans="1:21" x14ac:dyDescent="0.25">
      <c r="B6" s="12" t="s">
        <v>3838</v>
      </c>
      <c r="C6" s="2" t="s">
        <v>11513</v>
      </c>
      <c r="E6" s="2" t="s">
        <v>79</v>
      </c>
      <c r="F6" s="12" t="s">
        <v>11386</v>
      </c>
      <c r="G6" s="2" t="s">
        <v>11540</v>
      </c>
      <c r="H6" s="26" t="s">
        <v>9277</v>
      </c>
      <c r="J6" s="5">
        <v>106.24830000000001</v>
      </c>
    </row>
    <row r="7" spans="1:21" x14ac:dyDescent="0.25">
      <c r="B7" s="12" t="s">
        <v>3838</v>
      </c>
      <c r="C7" s="2" t="s">
        <v>11513</v>
      </c>
      <c r="E7" s="2" t="s">
        <v>79</v>
      </c>
      <c r="F7" s="12" t="s">
        <v>11387</v>
      </c>
      <c r="G7" s="2" t="s">
        <v>11541</v>
      </c>
      <c r="H7" s="26" t="s">
        <v>6098</v>
      </c>
      <c r="J7" s="5">
        <v>106.24830000000001</v>
      </c>
    </row>
    <row r="8" spans="1:21" x14ac:dyDescent="0.25">
      <c r="B8" s="12" t="s">
        <v>3838</v>
      </c>
      <c r="C8" s="2" t="s">
        <v>11513</v>
      </c>
      <c r="E8" s="2" t="s">
        <v>79</v>
      </c>
      <c r="F8" s="12" t="s">
        <v>11388</v>
      </c>
      <c r="G8" s="2" t="s">
        <v>11542</v>
      </c>
      <c r="H8" s="26" t="s">
        <v>6107</v>
      </c>
      <c r="J8" s="5">
        <v>106.24830000000001</v>
      </c>
    </row>
    <row r="9" spans="1:21" x14ac:dyDescent="0.25">
      <c r="B9" s="12" t="s">
        <v>3838</v>
      </c>
      <c r="C9" s="2" t="s">
        <v>11513</v>
      </c>
      <c r="E9" s="2" t="s">
        <v>79</v>
      </c>
      <c r="F9" s="12" t="s">
        <v>11389</v>
      </c>
      <c r="G9" s="2" t="s">
        <v>11543</v>
      </c>
      <c r="H9" s="26" t="s">
        <v>6108</v>
      </c>
      <c r="J9" s="5">
        <v>106.24830000000001</v>
      </c>
    </row>
    <row r="10" spans="1:21" x14ac:dyDescent="0.25">
      <c r="B10" s="12" t="s">
        <v>3838</v>
      </c>
      <c r="C10" s="2" t="s">
        <v>11513</v>
      </c>
      <c r="E10" s="2" t="s">
        <v>79</v>
      </c>
      <c r="F10" s="12" t="s">
        <v>11390</v>
      </c>
      <c r="G10" s="2" t="s">
        <v>11544</v>
      </c>
      <c r="H10" s="26" t="s">
        <v>6124</v>
      </c>
      <c r="J10" s="5">
        <v>106.24830000000001</v>
      </c>
    </row>
    <row r="11" spans="1:21" x14ac:dyDescent="0.25">
      <c r="B11" s="12" t="s">
        <v>3838</v>
      </c>
      <c r="C11" s="2" t="s">
        <v>11513</v>
      </c>
      <c r="E11" s="2" t="s">
        <v>79</v>
      </c>
      <c r="F11" s="12" t="s">
        <v>11391</v>
      </c>
      <c r="G11" s="2" t="s">
        <v>11545</v>
      </c>
      <c r="H11" s="26" t="s">
        <v>8849</v>
      </c>
      <c r="J11" s="5">
        <v>106.24830000000001</v>
      </c>
    </row>
    <row r="12" spans="1:21" x14ac:dyDescent="0.25">
      <c r="B12" s="12" t="s">
        <v>3838</v>
      </c>
      <c r="C12" s="2" t="s">
        <v>11513</v>
      </c>
      <c r="E12" s="2" t="s">
        <v>79</v>
      </c>
      <c r="F12" s="12" t="s">
        <v>11392</v>
      </c>
      <c r="G12" s="2" t="s">
        <v>11546</v>
      </c>
      <c r="H12" s="26" t="s">
        <v>9529</v>
      </c>
      <c r="J12" s="5">
        <v>318.74490000000003</v>
      </c>
    </row>
    <row r="13" spans="1:21" x14ac:dyDescent="0.25">
      <c r="B13" s="12" t="s">
        <v>3838</v>
      </c>
      <c r="C13" s="2" t="s">
        <v>11513</v>
      </c>
      <c r="E13" s="2" t="s">
        <v>79</v>
      </c>
      <c r="F13" s="12" t="s">
        <v>11393</v>
      </c>
      <c r="G13" s="2" t="s">
        <v>11547</v>
      </c>
      <c r="H13" s="26" t="s">
        <v>6355</v>
      </c>
      <c r="J13" s="5">
        <v>318.74490000000003</v>
      </c>
    </row>
    <row r="14" spans="1:21" x14ac:dyDescent="0.25">
      <c r="B14" s="12" t="s">
        <v>3838</v>
      </c>
      <c r="C14" s="2" t="s">
        <v>11513</v>
      </c>
      <c r="E14" s="2" t="s">
        <v>79</v>
      </c>
      <c r="F14" s="12" t="s">
        <v>11394</v>
      </c>
      <c r="G14" s="2" t="s">
        <v>11548</v>
      </c>
      <c r="H14" s="26" t="s">
        <v>6560</v>
      </c>
      <c r="J14" s="5">
        <v>106.24830000000001</v>
      </c>
    </row>
    <row r="15" spans="1:21" x14ac:dyDescent="0.25">
      <c r="B15" s="12" t="s">
        <v>3838</v>
      </c>
      <c r="C15" s="2" t="s">
        <v>11513</v>
      </c>
      <c r="E15" s="2" t="s">
        <v>79</v>
      </c>
      <c r="F15" s="12" t="s">
        <v>11395</v>
      </c>
      <c r="G15" s="2" t="s">
        <v>11549</v>
      </c>
      <c r="H15" s="26" t="s">
        <v>6764</v>
      </c>
      <c r="J15" s="5">
        <v>106.24830000000001</v>
      </c>
    </row>
    <row r="16" spans="1:21" x14ac:dyDescent="0.25">
      <c r="B16" s="12" t="s">
        <v>3838</v>
      </c>
      <c r="C16" s="2" t="s">
        <v>11513</v>
      </c>
      <c r="E16" s="2" t="s">
        <v>79</v>
      </c>
      <c r="F16" s="12" t="s">
        <v>11396</v>
      </c>
      <c r="G16" s="2" t="s">
        <v>11550</v>
      </c>
      <c r="H16" s="26" t="s">
        <v>6765</v>
      </c>
      <c r="J16" s="5">
        <v>106.24830000000001</v>
      </c>
    </row>
    <row r="17" spans="2:10" x14ac:dyDescent="0.25">
      <c r="B17" s="12" t="s">
        <v>3838</v>
      </c>
      <c r="C17" s="2" t="s">
        <v>11513</v>
      </c>
      <c r="E17" s="2" t="s">
        <v>79</v>
      </c>
      <c r="F17" s="12" t="s">
        <v>11397</v>
      </c>
      <c r="G17" s="2" t="s">
        <v>11551</v>
      </c>
      <c r="H17" s="26" t="s">
        <v>6953</v>
      </c>
      <c r="J17" s="5">
        <v>106.24830000000001</v>
      </c>
    </row>
    <row r="18" spans="2:10" x14ac:dyDescent="0.25">
      <c r="B18" s="12" t="s">
        <v>3838</v>
      </c>
      <c r="C18" s="2" t="s">
        <v>11513</v>
      </c>
      <c r="E18" s="2" t="s">
        <v>79</v>
      </c>
      <c r="F18" s="12" t="s">
        <v>11398</v>
      </c>
      <c r="G18" s="2" t="s">
        <v>11552</v>
      </c>
      <c r="H18" s="26" t="s">
        <v>8726</v>
      </c>
      <c r="J18" s="5">
        <v>106.24830000000001</v>
      </c>
    </row>
    <row r="19" spans="2:10" x14ac:dyDescent="0.25">
      <c r="B19" s="12" t="s">
        <v>3838</v>
      </c>
      <c r="C19" s="2" t="s">
        <v>11513</v>
      </c>
      <c r="E19" s="2" t="s">
        <v>79</v>
      </c>
      <c r="F19" s="12" t="s">
        <v>11399</v>
      </c>
      <c r="G19" s="2" t="s">
        <v>11553</v>
      </c>
      <c r="H19" s="26" t="s">
        <v>10876</v>
      </c>
      <c r="J19" s="5">
        <v>318.74490000000003</v>
      </c>
    </row>
    <row r="20" spans="2:10" x14ac:dyDescent="0.25">
      <c r="B20" s="12" t="s">
        <v>3838</v>
      </c>
      <c r="C20" s="2" t="s">
        <v>11513</v>
      </c>
      <c r="E20" s="2" t="s">
        <v>79</v>
      </c>
      <c r="F20" s="12" t="s">
        <v>11400</v>
      </c>
      <c r="G20" s="2" t="s">
        <v>11554</v>
      </c>
      <c r="H20" s="26" t="s">
        <v>5729</v>
      </c>
      <c r="J20" s="5">
        <v>318.74490000000003</v>
      </c>
    </row>
    <row r="21" spans="2:10" x14ac:dyDescent="0.25">
      <c r="B21" s="12" t="s">
        <v>3838</v>
      </c>
      <c r="C21" s="2" t="s">
        <v>11513</v>
      </c>
      <c r="E21" s="2" t="s">
        <v>79</v>
      </c>
      <c r="F21" s="12" t="s">
        <v>11401</v>
      </c>
      <c r="G21" s="2" t="s">
        <v>11555</v>
      </c>
      <c r="H21" s="26" t="s">
        <v>8953</v>
      </c>
      <c r="J21" s="5">
        <v>106.24830000000001</v>
      </c>
    </row>
    <row r="22" spans="2:10" x14ac:dyDescent="0.25">
      <c r="B22" s="12" t="s">
        <v>3838</v>
      </c>
      <c r="C22" s="2" t="s">
        <v>11513</v>
      </c>
      <c r="E22" s="2" t="s">
        <v>79</v>
      </c>
      <c r="F22" s="12" t="s">
        <v>11402</v>
      </c>
      <c r="G22" s="2" t="s">
        <v>11556</v>
      </c>
      <c r="H22" s="26" t="s">
        <v>9229</v>
      </c>
      <c r="J22" s="5">
        <v>106.24830000000001</v>
      </c>
    </row>
    <row r="23" spans="2:10" x14ac:dyDescent="0.25">
      <c r="B23" s="12" t="s">
        <v>3838</v>
      </c>
      <c r="C23" s="2" t="s">
        <v>11513</v>
      </c>
      <c r="E23" s="2" t="s">
        <v>79</v>
      </c>
      <c r="F23" s="12" t="s">
        <v>11403</v>
      </c>
      <c r="G23" s="2" t="s">
        <v>11557</v>
      </c>
      <c r="H23" s="26" t="s">
        <v>4848</v>
      </c>
      <c r="J23" s="5">
        <v>106.24830000000001</v>
      </c>
    </row>
    <row r="24" spans="2:10" x14ac:dyDescent="0.25">
      <c r="B24" s="12" t="s">
        <v>3838</v>
      </c>
      <c r="C24" s="2" t="s">
        <v>11513</v>
      </c>
      <c r="E24" s="2" t="s">
        <v>79</v>
      </c>
      <c r="F24" s="12" t="s">
        <v>11404</v>
      </c>
      <c r="G24" s="2" t="s">
        <v>11558</v>
      </c>
      <c r="H24" s="26" t="s">
        <v>5018</v>
      </c>
      <c r="J24" s="5">
        <v>106.24830000000001</v>
      </c>
    </row>
    <row r="25" spans="2:10" x14ac:dyDescent="0.25">
      <c r="B25" s="12" t="s">
        <v>3838</v>
      </c>
      <c r="C25" s="2" t="s">
        <v>11513</v>
      </c>
      <c r="E25" s="2" t="s">
        <v>79</v>
      </c>
      <c r="F25" s="12" t="s">
        <v>11405</v>
      </c>
      <c r="G25" s="2" t="s">
        <v>11559</v>
      </c>
      <c r="H25" s="26" t="s">
        <v>9828</v>
      </c>
      <c r="J25" s="5">
        <v>318.74490000000003</v>
      </c>
    </row>
    <row r="26" spans="2:10" x14ac:dyDescent="0.25">
      <c r="B26" s="12" t="s">
        <v>3838</v>
      </c>
      <c r="C26" s="2" t="s">
        <v>11513</v>
      </c>
      <c r="E26" s="2" t="s">
        <v>79</v>
      </c>
      <c r="F26" s="12" t="s">
        <v>11406</v>
      </c>
      <c r="G26" s="2" t="s">
        <v>11560</v>
      </c>
      <c r="H26" s="26" t="s">
        <v>9860</v>
      </c>
      <c r="J26" s="5">
        <v>318.74490000000003</v>
      </c>
    </row>
    <row r="27" spans="2:10" x14ac:dyDescent="0.25">
      <c r="B27" s="12" t="s">
        <v>3838</v>
      </c>
      <c r="C27" s="2" t="s">
        <v>11513</v>
      </c>
      <c r="E27" s="2" t="s">
        <v>79</v>
      </c>
      <c r="F27" s="12" t="s">
        <v>11407</v>
      </c>
      <c r="G27" s="2" t="s">
        <v>11561</v>
      </c>
      <c r="H27" s="26" t="s">
        <v>10126</v>
      </c>
      <c r="J27" s="5">
        <v>106.24830000000001</v>
      </c>
    </row>
    <row r="28" spans="2:10" x14ac:dyDescent="0.25">
      <c r="B28" s="12" t="s">
        <v>3838</v>
      </c>
      <c r="C28" s="2" t="s">
        <v>11513</v>
      </c>
      <c r="E28" s="2" t="s">
        <v>79</v>
      </c>
      <c r="F28" s="12" t="s">
        <v>11408</v>
      </c>
      <c r="G28" s="2" t="s">
        <v>11562</v>
      </c>
      <c r="H28" s="26" t="s">
        <v>7153</v>
      </c>
      <c r="J28" s="5">
        <v>106.24830000000001</v>
      </c>
    </row>
    <row r="29" spans="2:10" x14ac:dyDescent="0.25">
      <c r="B29" s="12" t="s">
        <v>3838</v>
      </c>
      <c r="C29" s="2" t="s">
        <v>11513</v>
      </c>
      <c r="E29" s="2" t="s">
        <v>79</v>
      </c>
      <c r="F29" s="12" t="s">
        <v>11409</v>
      </c>
      <c r="G29" s="2" t="s">
        <v>11563</v>
      </c>
      <c r="H29" s="26" t="s">
        <v>7169</v>
      </c>
      <c r="J29" s="5">
        <v>106.24830000000001</v>
      </c>
    </row>
    <row r="30" spans="2:10" x14ac:dyDescent="0.25">
      <c r="B30" s="12" t="s">
        <v>3838</v>
      </c>
      <c r="C30" s="2" t="s">
        <v>11513</v>
      </c>
      <c r="E30" s="2" t="s">
        <v>79</v>
      </c>
      <c r="F30" s="12" t="s">
        <v>11410</v>
      </c>
      <c r="G30" s="2" t="s">
        <v>11564</v>
      </c>
      <c r="H30" s="26" t="s">
        <v>5973</v>
      </c>
      <c r="J30" s="5">
        <v>318.74490000000003</v>
      </c>
    </row>
    <row r="31" spans="2:10" x14ac:dyDescent="0.25">
      <c r="B31" s="12" t="s">
        <v>3838</v>
      </c>
      <c r="C31" s="2" t="s">
        <v>11513</v>
      </c>
      <c r="E31" s="2" t="s">
        <v>79</v>
      </c>
      <c r="F31" s="12" t="s">
        <v>11411</v>
      </c>
      <c r="G31" s="2" t="s">
        <v>11565</v>
      </c>
      <c r="H31" s="26" t="s">
        <v>6910</v>
      </c>
      <c r="J31" s="5">
        <v>106.24830000000001</v>
      </c>
    </row>
    <row r="32" spans="2:10" x14ac:dyDescent="0.25">
      <c r="B32" s="12" t="s">
        <v>3838</v>
      </c>
      <c r="C32" s="2" t="s">
        <v>11513</v>
      </c>
      <c r="E32" s="2" t="s">
        <v>79</v>
      </c>
      <c r="F32" s="12" t="s">
        <v>11412</v>
      </c>
      <c r="G32" s="2" t="s">
        <v>11566</v>
      </c>
      <c r="H32" s="26" t="s">
        <v>7200</v>
      </c>
      <c r="J32" s="5">
        <v>106.24830000000001</v>
      </c>
    </row>
    <row r="33" spans="2:10" x14ac:dyDescent="0.25">
      <c r="B33" s="12" t="s">
        <v>3838</v>
      </c>
      <c r="C33" s="2" t="s">
        <v>11513</v>
      </c>
      <c r="E33" s="2" t="s">
        <v>79</v>
      </c>
      <c r="F33" s="12" t="s">
        <v>11413</v>
      </c>
      <c r="G33" s="2" t="s">
        <v>11567</v>
      </c>
      <c r="H33" s="26" t="s">
        <v>4726</v>
      </c>
      <c r="J33" s="5">
        <v>106.24830000000001</v>
      </c>
    </row>
    <row r="34" spans="2:10" x14ac:dyDescent="0.25">
      <c r="B34" s="12" t="s">
        <v>3838</v>
      </c>
      <c r="C34" s="2" t="s">
        <v>11513</v>
      </c>
      <c r="E34" s="2" t="s">
        <v>79</v>
      </c>
      <c r="F34" s="12" t="s">
        <v>11414</v>
      </c>
      <c r="G34" s="2" t="s">
        <v>11568</v>
      </c>
      <c r="H34" s="26" t="s">
        <v>5329</v>
      </c>
      <c r="J34" s="5">
        <v>106.24830000000001</v>
      </c>
    </row>
    <row r="35" spans="2:10" x14ac:dyDescent="0.25">
      <c r="B35" s="12" t="s">
        <v>3838</v>
      </c>
      <c r="C35" s="2" t="s">
        <v>11513</v>
      </c>
      <c r="E35" s="2" t="s">
        <v>79</v>
      </c>
      <c r="F35" s="12" t="s">
        <v>11415</v>
      </c>
      <c r="G35" s="2" t="s">
        <v>11569</v>
      </c>
      <c r="H35" s="26" t="s">
        <v>8407</v>
      </c>
      <c r="J35" s="5">
        <v>318.74490000000003</v>
      </c>
    </row>
    <row r="36" spans="2:10" x14ac:dyDescent="0.25">
      <c r="B36" s="12" t="s">
        <v>3838</v>
      </c>
      <c r="C36" s="2" t="s">
        <v>11513</v>
      </c>
      <c r="E36" s="2" t="s">
        <v>79</v>
      </c>
      <c r="F36" s="12" t="s">
        <v>11416</v>
      </c>
      <c r="G36" s="2" t="s">
        <v>11570</v>
      </c>
      <c r="H36" s="26" t="s">
        <v>8834</v>
      </c>
      <c r="J36" s="5">
        <v>106.24830000000001</v>
      </c>
    </row>
    <row r="37" spans="2:10" x14ac:dyDescent="0.25">
      <c r="B37" s="12" t="s">
        <v>3838</v>
      </c>
      <c r="C37" s="2" t="s">
        <v>11513</v>
      </c>
      <c r="E37" s="2" t="s">
        <v>79</v>
      </c>
      <c r="F37" s="12" t="s">
        <v>11379</v>
      </c>
      <c r="G37" s="2" t="s">
        <v>11571</v>
      </c>
      <c r="H37" s="26" t="s">
        <v>6812</v>
      </c>
      <c r="J37" s="5">
        <v>84.015699999999995</v>
      </c>
    </row>
    <row r="38" spans="2:10" x14ac:dyDescent="0.25">
      <c r="B38" s="12" t="s">
        <v>3838</v>
      </c>
      <c r="C38" s="2" t="s">
        <v>11513</v>
      </c>
      <c r="E38" s="2" t="s">
        <v>79</v>
      </c>
      <c r="F38" s="12" t="s">
        <v>11432</v>
      </c>
      <c r="G38" s="2" t="s">
        <v>11572</v>
      </c>
      <c r="H38" s="26" t="s">
        <v>11433</v>
      </c>
      <c r="J38" s="5">
        <v>2016</v>
      </c>
    </row>
    <row r="39" spans="2:10" x14ac:dyDescent="0.25">
      <c r="B39" s="12" t="s">
        <v>3838</v>
      </c>
      <c r="C39" s="2" t="s">
        <v>11513</v>
      </c>
      <c r="E39" s="2" t="s">
        <v>79</v>
      </c>
      <c r="F39" s="12" t="s">
        <v>11434</v>
      </c>
      <c r="G39" s="2" t="s">
        <v>11573</v>
      </c>
      <c r="H39" s="26" t="s">
        <v>11435</v>
      </c>
      <c r="J39" s="5">
        <v>1896</v>
      </c>
    </row>
    <row r="40" spans="2:10" x14ac:dyDescent="0.25">
      <c r="B40" s="12" t="s">
        <v>3838</v>
      </c>
      <c r="C40" s="2" t="s">
        <v>11513</v>
      </c>
      <c r="E40" s="2" t="s">
        <v>79</v>
      </c>
      <c r="F40" s="12" t="s">
        <v>11436</v>
      </c>
      <c r="G40" s="2" t="s">
        <v>11574</v>
      </c>
      <c r="H40" s="26" t="s">
        <v>11437</v>
      </c>
      <c r="J40" s="5">
        <v>1692</v>
      </c>
    </row>
    <row r="41" spans="2:10" x14ac:dyDescent="0.25">
      <c r="B41" s="12" t="s">
        <v>3838</v>
      </c>
      <c r="C41" s="2" t="s">
        <v>11513</v>
      </c>
      <c r="E41" s="2" t="s">
        <v>79</v>
      </c>
      <c r="F41" s="12" t="s">
        <v>11438</v>
      </c>
      <c r="G41" s="2" t="s">
        <v>11575</v>
      </c>
      <c r="H41" s="26" t="s">
        <v>11439</v>
      </c>
      <c r="J41" s="5">
        <v>1194</v>
      </c>
    </row>
    <row r="42" spans="2:10" x14ac:dyDescent="0.25">
      <c r="B42" s="12" t="s">
        <v>3838</v>
      </c>
      <c r="C42" s="2" t="s">
        <v>11513</v>
      </c>
      <c r="E42" s="2" t="s">
        <v>79</v>
      </c>
      <c r="F42" s="12" t="s">
        <v>11440</v>
      </c>
      <c r="G42" s="2" t="s">
        <v>11576</v>
      </c>
      <c r="H42" s="26" t="s">
        <v>11441</v>
      </c>
      <c r="J42" s="5">
        <v>1062</v>
      </c>
    </row>
    <row r="43" spans="2:10" x14ac:dyDescent="0.25">
      <c r="B43" s="12" t="s">
        <v>3838</v>
      </c>
      <c r="C43" s="2" t="s">
        <v>11513</v>
      </c>
      <c r="E43" s="2" t="s">
        <v>79</v>
      </c>
      <c r="F43" s="12" t="s">
        <v>11442</v>
      </c>
      <c r="G43" s="2" t="s">
        <v>11577</v>
      </c>
      <c r="H43" s="26" t="s">
        <v>11443</v>
      </c>
      <c r="J43" s="5">
        <v>912</v>
      </c>
    </row>
    <row r="44" spans="2:10" x14ac:dyDescent="0.25">
      <c r="B44" s="12" t="s">
        <v>3838</v>
      </c>
      <c r="C44" s="2" t="s">
        <v>11513</v>
      </c>
      <c r="E44" s="2" t="s">
        <v>79</v>
      </c>
      <c r="F44" s="12" t="s">
        <v>11444</v>
      </c>
      <c r="G44" s="2" t="s">
        <v>11578</v>
      </c>
      <c r="H44" s="26" t="s">
        <v>11445</v>
      </c>
      <c r="J44" s="5">
        <v>708</v>
      </c>
    </row>
    <row r="45" spans="2:10" x14ac:dyDescent="0.25">
      <c r="B45" s="12" t="s">
        <v>3838</v>
      </c>
      <c r="C45" s="2" t="s">
        <v>11513</v>
      </c>
      <c r="E45" s="2" t="s">
        <v>79</v>
      </c>
      <c r="F45" s="12" t="s">
        <v>11446</v>
      </c>
      <c r="G45" s="2" t="s">
        <v>11579</v>
      </c>
      <c r="H45" s="26" t="s">
        <v>11447</v>
      </c>
      <c r="J45" s="5">
        <v>600</v>
      </c>
    </row>
    <row r="46" spans="2:10" x14ac:dyDescent="0.25">
      <c r="B46" s="12" t="s">
        <v>3838</v>
      </c>
      <c r="C46" s="2" t="s">
        <v>11513</v>
      </c>
      <c r="E46" s="2" t="s">
        <v>79</v>
      </c>
      <c r="F46" s="12" t="s">
        <v>11448</v>
      </c>
      <c r="G46" s="2" t="s">
        <v>11580</v>
      </c>
      <c r="H46" s="26" t="s">
        <v>11449</v>
      </c>
      <c r="J46" s="5">
        <v>576</v>
      </c>
    </row>
    <row r="47" spans="2:10" x14ac:dyDescent="0.25">
      <c r="B47" s="12" t="s">
        <v>3838</v>
      </c>
      <c r="C47" s="2" t="s">
        <v>11513</v>
      </c>
      <c r="E47" s="2" t="s">
        <v>79</v>
      </c>
      <c r="F47" s="12" t="s">
        <v>11417</v>
      </c>
      <c r="G47" s="2" t="s">
        <v>11581</v>
      </c>
      <c r="H47" s="26" t="s">
        <v>9697</v>
      </c>
      <c r="J47" s="5">
        <v>378</v>
      </c>
    </row>
    <row r="48" spans="2:10" x14ac:dyDescent="0.25">
      <c r="B48" s="12" t="s">
        <v>3838</v>
      </c>
      <c r="C48" s="2" t="s">
        <v>11513</v>
      </c>
      <c r="E48" s="2" t="s">
        <v>79</v>
      </c>
      <c r="F48" s="12" t="s">
        <v>11418</v>
      </c>
      <c r="G48" s="2" t="s">
        <v>11582</v>
      </c>
      <c r="H48" s="26" t="s">
        <v>9319</v>
      </c>
      <c r="J48" s="5">
        <v>318</v>
      </c>
    </row>
    <row r="49" spans="2:10" x14ac:dyDescent="0.25">
      <c r="B49" s="12" t="s">
        <v>3838</v>
      </c>
      <c r="C49" s="2" t="s">
        <v>11513</v>
      </c>
      <c r="E49" s="2" t="s">
        <v>79</v>
      </c>
      <c r="F49" s="12" t="s">
        <v>11419</v>
      </c>
      <c r="G49" s="2" t="s">
        <v>11583</v>
      </c>
      <c r="H49" s="26" t="s">
        <v>9325</v>
      </c>
      <c r="J49" s="5">
        <v>264</v>
      </c>
    </row>
    <row r="50" spans="2:10" x14ac:dyDescent="0.25">
      <c r="B50" s="12" t="s">
        <v>3838</v>
      </c>
      <c r="C50" s="2" t="s">
        <v>11513</v>
      </c>
      <c r="E50" s="2" t="s">
        <v>79</v>
      </c>
      <c r="F50" s="12" t="s">
        <v>11380</v>
      </c>
      <c r="G50" s="2" t="s">
        <v>11584</v>
      </c>
      <c r="H50" s="26" t="s">
        <v>9738</v>
      </c>
      <c r="J50" s="5">
        <v>234</v>
      </c>
    </row>
    <row r="51" spans="2:10" x14ac:dyDescent="0.25">
      <c r="B51" s="12" t="s">
        <v>3838</v>
      </c>
      <c r="C51" s="2" t="s">
        <v>11513</v>
      </c>
      <c r="E51" s="2" t="s">
        <v>79</v>
      </c>
      <c r="F51" s="12" t="s">
        <v>11420</v>
      </c>
      <c r="G51" s="2" t="s">
        <v>11585</v>
      </c>
      <c r="H51" s="26" t="s">
        <v>11421</v>
      </c>
      <c r="J51" s="5">
        <v>174</v>
      </c>
    </row>
    <row r="52" spans="2:10" x14ac:dyDescent="0.25">
      <c r="B52" s="12" t="s">
        <v>3838</v>
      </c>
      <c r="C52" s="2" t="s">
        <v>11513</v>
      </c>
      <c r="E52" s="2" t="s">
        <v>79</v>
      </c>
      <c r="F52" s="12" t="s">
        <v>11422</v>
      </c>
      <c r="G52" s="2" t="s">
        <v>11586</v>
      </c>
      <c r="H52" s="26" t="s">
        <v>9344</v>
      </c>
      <c r="J52" s="5">
        <v>138</v>
      </c>
    </row>
    <row r="53" spans="2:10" x14ac:dyDescent="0.25">
      <c r="B53" s="12" t="s">
        <v>3838</v>
      </c>
      <c r="C53" s="2" t="s">
        <v>11513</v>
      </c>
      <c r="E53" s="2" t="s">
        <v>79</v>
      </c>
      <c r="F53" s="12" t="s">
        <v>11423</v>
      </c>
      <c r="G53" s="2" t="s">
        <v>11587</v>
      </c>
      <c r="H53" s="26" t="s">
        <v>9339</v>
      </c>
      <c r="J53" s="5">
        <v>132</v>
      </c>
    </row>
    <row r="54" spans="2:10" x14ac:dyDescent="0.25">
      <c r="B54" s="12" t="s">
        <v>3838</v>
      </c>
      <c r="C54" s="2" t="s">
        <v>11513</v>
      </c>
      <c r="E54" s="2" t="s">
        <v>79</v>
      </c>
      <c r="F54" s="12" t="s">
        <v>11424</v>
      </c>
      <c r="G54" s="2" t="s">
        <v>11588</v>
      </c>
      <c r="H54" s="26" t="s">
        <v>9329</v>
      </c>
      <c r="J54" s="5">
        <v>126</v>
      </c>
    </row>
    <row r="55" spans="2:10" x14ac:dyDescent="0.25">
      <c r="B55" s="12" t="s">
        <v>3838</v>
      </c>
      <c r="C55" s="2" t="s">
        <v>11513</v>
      </c>
      <c r="E55" s="2" t="s">
        <v>79</v>
      </c>
      <c r="F55" s="12" t="s">
        <v>11425</v>
      </c>
      <c r="G55" s="2" t="s">
        <v>11589</v>
      </c>
      <c r="H55" s="26" t="s">
        <v>9703</v>
      </c>
      <c r="J55" s="5">
        <v>126</v>
      </c>
    </row>
    <row r="56" spans="2:10" x14ac:dyDescent="0.25">
      <c r="B56" s="12" t="s">
        <v>3838</v>
      </c>
      <c r="C56" s="2" t="s">
        <v>11513</v>
      </c>
      <c r="E56" s="2" t="s">
        <v>79</v>
      </c>
      <c r="F56" s="12" t="s">
        <v>11426</v>
      </c>
      <c r="G56" s="2" t="s">
        <v>11590</v>
      </c>
      <c r="H56" s="26" t="s">
        <v>9727</v>
      </c>
      <c r="J56" s="5">
        <v>114</v>
      </c>
    </row>
    <row r="57" spans="2:10" x14ac:dyDescent="0.25">
      <c r="B57" s="12" t="s">
        <v>3838</v>
      </c>
      <c r="C57" s="2" t="s">
        <v>11513</v>
      </c>
      <c r="E57" s="2" t="s">
        <v>79</v>
      </c>
      <c r="F57" s="12" t="s">
        <v>11427</v>
      </c>
      <c r="G57" s="2" t="s">
        <v>11591</v>
      </c>
      <c r="H57" s="26" t="s">
        <v>9714</v>
      </c>
      <c r="J57" s="5">
        <v>84</v>
      </c>
    </row>
    <row r="58" spans="2:10" x14ac:dyDescent="0.25">
      <c r="B58" s="12" t="s">
        <v>3838</v>
      </c>
      <c r="C58" s="2" t="s">
        <v>11513</v>
      </c>
      <c r="E58" s="2" t="s">
        <v>79</v>
      </c>
      <c r="F58" s="12" t="s">
        <v>11428</v>
      </c>
      <c r="G58" s="2" t="s">
        <v>11592</v>
      </c>
      <c r="H58" s="26" t="s">
        <v>9708</v>
      </c>
      <c r="J58" s="5">
        <v>48</v>
      </c>
    </row>
    <row r="59" spans="2:10" x14ac:dyDescent="0.25">
      <c r="B59" s="12" t="s">
        <v>3838</v>
      </c>
      <c r="C59" s="2" t="s">
        <v>11513</v>
      </c>
      <c r="E59" s="2" t="s">
        <v>79</v>
      </c>
      <c r="F59" s="12" t="s">
        <v>11429</v>
      </c>
      <c r="G59" s="2" t="s">
        <v>11593</v>
      </c>
      <c r="H59" s="26" t="s">
        <v>9732</v>
      </c>
      <c r="J59" s="5">
        <v>24</v>
      </c>
    </row>
    <row r="60" spans="2:10" x14ac:dyDescent="0.25">
      <c r="B60" s="12" t="s">
        <v>3838</v>
      </c>
      <c r="C60" s="2" t="s">
        <v>11513</v>
      </c>
      <c r="E60" s="2" t="s">
        <v>79</v>
      </c>
      <c r="F60" s="12" t="s">
        <v>11450</v>
      </c>
      <c r="G60" s="2" t="s">
        <v>11594</v>
      </c>
      <c r="H60" s="26" t="s">
        <v>11451</v>
      </c>
      <c r="J60" s="5">
        <v>420</v>
      </c>
    </row>
    <row r="61" spans="2:10" x14ac:dyDescent="0.25">
      <c r="B61" s="12" t="s">
        <v>3838</v>
      </c>
      <c r="C61" s="2" t="s">
        <v>11513</v>
      </c>
      <c r="E61" s="2" t="s">
        <v>79</v>
      </c>
      <c r="F61" s="12" t="s">
        <v>11452</v>
      </c>
      <c r="G61" s="2" t="s">
        <v>11595</v>
      </c>
      <c r="H61" s="26" t="s">
        <v>11453</v>
      </c>
      <c r="J61" s="5">
        <v>420</v>
      </c>
    </row>
    <row r="62" spans="2:10" x14ac:dyDescent="0.25">
      <c r="B62" s="12" t="s">
        <v>3838</v>
      </c>
      <c r="C62" s="2" t="s">
        <v>11513</v>
      </c>
      <c r="E62" s="2" t="s">
        <v>79</v>
      </c>
      <c r="F62" s="12" t="s">
        <v>11381</v>
      </c>
      <c r="G62" s="2" t="s">
        <v>11596</v>
      </c>
      <c r="H62" s="26" t="s">
        <v>11529</v>
      </c>
      <c r="J62" s="5">
        <v>30</v>
      </c>
    </row>
    <row r="63" spans="2:10" x14ac:dyDescent="0.25">
      <c r="B63" s="12" t="s">
        <v>3838</v>
      </c>
      <c r="C63" s="2" t="s">
        <v>11513</v>
      </c>
      <c r="E63" s="2" t="s">
        <v>79</v>
      </c>
      <c r="F63" s="12" t="s">
        <v>11454</v>
      </c>
      <c r="G63" s="2" t="s">
        <v>11597</v>
      </c>
      <c r="H63" s="26" t="s">
        <v>11455</v>
      </c>
      <c r="J63" s="5">
        <v>1364.8826815642458</v>
      </c>
    </row>
    <row r="64" spans="2:10" x14ac:dyDescent="0.25">
      <c r="B64" s="12" t="s">
        <v>3838</v>
      </c>
      <c r="C64" s="2" t="s">
        <v>11513</v>
      </c>
      <c r="E64" s="2" t="s">
        <v>79</v>
      </c>
      <c r="F64" s="12" t="s">
        <v>11456</v>
      </c>
      <c r="G64" s="2" t="s">
        <v>11598</v>
      </c>
      <c r="H64" s="26" t="s">
        <v>11457</v>
      </c>
      <c r="J64" s="5">
        <v>276.22625698324021</v>
      </c>
    </row>
    <row r="65" spans="2:10" x14ac:dyDescent="0.25">
      <c r="B65" s="12" t="s">
        <v>3838</v>
      </c>
      <c r="C65" s="2" t="s">
        <v>11513</v>
      </c>
      <c r="E65" s="2" t="s">
        <v>79</v>
      </c>
      <c r="F65" s="12" t="s">
        <v>11458</v>
      </c>
      <c r="G65" s="2" t="s">
        <v>11599</v>
      </c>
      <c r="H65" s="26" t="s">
        <v>11459</v>
      </c>
      <c r="J65" s="5">
        <v>259.97765363128491</v>
      </c>
    </row>
    <row r="66" spans="2:10" x14ac:dyDescent="0.25">
      <c r="B66" s="12" t="s">
        <v>3838</v>
      </c>
      <c r="C66" s="2" t="s">
        <v>11513</v>
      </c>
      <c r="E66" s="2" t="s">
        <v>79</v>
      </c>
      <c r="F66" s="12" t="s">
        <v>11460</v>
      </c>
      <c r="G66" s="2" t="s">
        <v>11600</v>
      </c>
      <c r="H66" s="26" t="s">
        <v>11461</v>
      </c>
      <c r="J66" s="5">
        <v>178.73463687150837</v>
      </c>
    </row>
    <row r="67" spans="2:10" x14ac:dyDescent="0.25">
      <c r="B67" s="12" t="s">
        <v>3838</v>
      </c>
      <c r="C67" s="2" t="s">
        <v>11513</v>
      </c>
      <c r="E67" s="2" t="s">
        <v>79</v>
      </c>
      <c r="F67" s="12" t="s">
        <v>11382</v>
      </c>
      <c r="G67" s="2" t="s">
        <v>11601</v>
      </c>
      <c r="H67" s="26" t="s">
        <v>11531</v>
      </c>
      <c r="J67" s="5">
        <v>81.243016759776538</v>
      </c>
    </row>
    <row r="68" spans="2:10" x14ac:dyDescent="0.25">
      <c r="B68" s="12" t="s">
        <v>3838</v>
      </c>
      <c r="C68" s="2" t="s">
        <v>11513</v>
      </c>
      <c r="E68" s="2" t="s">
        <v>79</v>
      </c>
      <c r="F68" s="12" t="s">
        <v>11462</v>
      </c>
      <c r="G68" s="2" t="s">
        <v>11602</v>
      </c>
      <c r="H68" s="26" t="s">
        <v>11463</v>
      </c>
      <c r="J68" s="5">
        <v>12</v>
      </c>
    </row>
    <row r="69" spans="2:10" x14ac:dyDescent="0.25">
      <c r="B69" s="12" t="s">
        <v>3838</v>
      </c>
      <c r="C69" s="2" t="s">
        <v>11513</v>
      </c>
      <c r="E69" s="2" t="s">
        <v>79</v>
      </c>
      <c r="F69" s="12" t="s">
        <v>11464</v>
      </c>
      <c r="G69" s="2" t="s">
        <v>11603</v>
      </c>
      <c r="H69" s="26" t="s">
        <v>11465</v>
      </c>
      <c r="J69" s="5">
        <v>12</v>
      </c>
    </row>
    <row r="70" spans="2:10" x14ac:dyDescent="0.25">
      <c r="B70" s="12" t="s">
        <v>3838</v>
      </c>
      <c r="C70" s="2" t="s">
        <v>11513</v>
      </c>
      <c r="E70" s="2" t="s">
        <v>79</v>
      </c>
      <c r="F70" s="12" t="s">
        <v>11466</v>
      </c>
      <c r="G70" s="2" t="s">
        <v>11604</v>
      </c>
      <c r="H70" s="26" t="s">
        <v>11467</v>
      </c>
      <c r="J70" s="5">
        <v>1122</v>
      </c>
    </row>
    <row r="71" spans="2:10" x14ac:dyDescent="0.25">
      <c r="B71" s="12" t="s">
        <v>3838</v>
      </c>
      <c r="C71" s="2" t="s">
        <v>11513</v>
      </c>
      <c r="E71" s="2" t="s">
        <v>79</v>
      </c>
      <c r="F71" s="12" t="s">
        <v>11468</v>
      </c>
      <c r="G71" s="2" t="s">
        <v>11605</v>
      </c>
      <c r="H71" s="26" t="s">
        <v>11469</v>
      </c>
      <c r="J71" s="5">
        <v>408</v>
      </c>
    </row>
    <row r="72" spans="2:10" x14ac:dyDescent="0.25">
      <c r="B72" s="12" t="s">
        <v>3838</v>
      </c>
      <c r="C72" s="2" t="s">
        <v>11513</v>
      </c>
      <c r="E72" s="2" t="s">
        <v>80</v>
      </c>
      <c r="F72" s="12" t="s">
        <v>11193</v>
      </c>
      <c r="G72" s="2" t="s">
        <v>11606</v>
      </c>
      <c r="H72" s="26" t="s">
        <v>5153</v>
      </c>
      <c r="J72" s="5">
        <v>1858.7749000000001</v>
      </c>
    </row>
    <row r="73" spans="2:10" x14ac:dyDescent="0.25">
      <c r="B73" s="12" t="s">
        <v>3838</v>
      </c>
      <c r="C73" s="2" t="s">
        <v>11513</v>
      </c>
      <c r="E73" s="2" t="s">
        <v>80</v>
      </c>
      <c r="F73" s="12" t="s">
        <v>11130</v>
      </c>
      <c r="G73" s="2" t="s">
        <v>11607</v>
      </c>
      <c r="H73" s="26" t="s">
        <v>5173</v>
      </c>
      <c r="J73" s="5">
        <v>2111.0706760000003</v>
      </c>
    </row>
    <row r="74" spans="2:10" x14ac:dyDescent="0.25">
      <c r="B74" s="12" t="s">
        <v>3838</v>
      </c>
      <c r="C74" s="2" t="s">
        <v>11513</v>
      </c>
      <c r="E74" s="2" t="s">
        <v>80</v>
      </c>
      <c r="F74" s="12" t="s">
        <v>11266</v>
      </c>
      <c r="G74" s="2" t="s">
        <v>11608</v>
      </c>
      <c r="H74" s="26" t="s">
        <v>5183</v>
      </c>
      <c r="J74" s="5">
        <v>84.262370000000004</v>
      </c>
    </row>
    <row r="75" spans="2:10" x14ac:dyDescent="0.25">
      <c r="B75" s="12" t="s">
        <v>3838</v>
      </c>
      <c r="C75" s="2" t="s">
        <v>11513</v>
      </c>
      <c r="E75" s="2" t="s">
        <v>80</v>
      </c>
      <c r="F75" s="12" t="s">
        <v>11131</v>
      </c>
      <c r="G75" s="2" t="s">
        <v>11609</v>
      </c>
      <c r="H75" s="26" t="s">
        <v>9403</v>
      </c>
      <c r="J75" s="5">
        <v>2263.3663999999999</v>
      </c>
    </row>
    <row r="76" spans="2:10" x14ac:dyDescent="0.25">
      <c r="B76" s="12" t="s">
        <v>3838</v>
      </c>
      <c r="C76" s="2" t="s">
        <v>11513</v>
      </c>
      <c r="E76" s="2" t="s">
        <v>80</v>
      </c>
      <c r="F76" s="12" t="s">
        <v>11132</v>
      </c>
      <c r="G76" s="2" t="s">
        <v>11610</v>
      </c>
      <c r="H76" s="26" t="s">
        <v>9427</v>
      </c>
      <c r="J76" s="5">
        <v>3713.5401120000006</v>
      </c>
    </row>
    <row r="77" spans="2:10" x14ac:dyDescent="0.25">
      <c r="B77" s="12" t="s">
        <v>3838</v>
      </c>
      <c r="C77" s="2" t="s">
        <v>11513</v>
      </c>
      <c r="E77" s="2" t="s">
        <v>80</v>
      </c>
      <c r="F77" s="12" t="s">
        <v>11194</v>
      </c>
      <c r="G77" s="2" t="s">
        <v>11611</v>
      </c>
      <c r="H77" s="26" t="s">
        <v>9446</v>
      </c>
      <c r="J77" s="5">
        <v>3868.5220400000007</v>
      </c>
    </row>
    <row r="78" spans="2:10" x14ac:dyDescent="0.25">
      <c r="B78" s="12" t="s">
        <v>3838</v>
      </c>
      <c r="C78" s="2" t="s">
        <v>11513</v>
      </c>
      <c r="E78" s="2" t="s">
        <v>80</v>
      </c>
      <c r="F78" s="12" t="s">
        <v>11267</v>
      </c>
      <c r="G78" s="2" t="s">
        <v>11612</v>
      </c>
      <c r="H78" s="26" t="s">
        <v>9473</v>
      </c>
      <c r="J78" s="5">
        <v>591.59762000000012</v>
      </c>
    </row>
    <row r="79" spans="2:10" x14ac:dyDescent="0.25">
      <c r="B79" s="12" t="s">
        <v>3838</v>
      </c>
      <c r="C79" s="2" t="s">
        <v>11513</v>
      </c>
      <c r="E79" s="2" t="s">
        <v>80</v>
      </c>
      <c r="F79" s="12" t="s">
        <v>11195</v>
      </c>
      <c r="G79" s="2" t="s">
        <v>11613</v>
      </c>
      <c r="H79" s="26" t="s">
        <v>9493</v>
      </c>
      <c r="J79" s="5">
        <v>829.34282399999995</v>
      </c>
    </row>
    <row r="80" spans="2:10" x14ac:dyDescent="0.25">
      <c r="B80" s="12" t="s">
        <v>3838</v>
      </c>
      <c r="C80" s="2" t="s">
        <v>11513</v>
      </c>
      <c r="E80" s="2" t="s">
        <v>80</v>
      </c>
      <c r="F80" s="12" t="s">
        <v>11261</v>
      </c>
      <c r="G80" s="2" t="s">
        <v>11614</v>
      </c>
      <c r="H80" s="26" t="s">
        <v>10274</v>
      </c>
      <c r="J80" s="5">
        <v>318.74490000000003</v>
      </c>
    </row>
    <row r="81" spans="2:10" x14ac:dyDescent="0.25">
      <c r="B81" s="12" t="s">
        <v>3838</v>
      </c>
      <c r="C81" s="2" t="s">
        <v>11513</v>
      </c>
      <c r="E81" s="2" t="s">
        <v>80</v>
      </c>
      <c r="F81" s="12" t="s">
        <v>11196</v>
      </c>
      <c r="G81" s="2" t="s">
        <v>11615</v>
      </c>
      <c r="H81" s="26" t="s">
        <v>11005</v>
      </c>
      <c r="J81" s="5">
        <v>1068.9098670000001</v>
      </c>
    </row>
    <row r="82" spans="2:10" x14ac:dyDescent="0.25">
      <c r="B82" s="12" t="s">
        <v>3838</v>
      </c>
      <c r="C82" s="2" t="s">
        <v>11513</v>
      </c>
      <c r="E82" s="2" t="s">
        <v>80</v>
      </c>
      <c r="F82" s="12" t="s">
        <v>11268</v>
      </c>
      <c r="G82" s="2" t="s">
        <v>11616</v>
      </c>
      <c r="H82" s="26" t="s">
        <v>5530</v>
      </c>
      <c r="J82" s="5">
        <v>3.1737299999999999</v>
      </c>
    </row>
    <row r="83" spans="2:10" x14ac:dyDescent="0.25">
      <c r="B83" s="12" t="s">
        <v>3838</v>
      </c>
      <c r="C83" s="2" t="s">
        <v>11513</v>
      </c>
      <c r="E83" s="2" t="s">
        <v>80</v>
      </c>
      <c r="F83" s="12" t="s">
        <v>11134</v>
      </c>
      <c r="G83" s="2" t="s">
        <v>11617</v>
      </c>
      <c r="H83" s="26" t="s">
        <v>8558</v>
      </c>
      <c r="J83" s="5">
        <v>687.97572000000002</v>
      </c>
    </row>
    <row r="84" spans="2:10" x14ac:dyDescent="0.25">
      <c r="B84" s="12" t="s">
        <v>3838</v>
      </c>
      <c r="C84" s="2" t="s">
        <v>11513</v>
      </c>
      <c r="E84" s="2" t="s">
        <v>80</v>
      </c>
      <c r="F84" s="12" t="s">
        <v>11133</v>
      </c>
      <c r="G84" s="2" t="s">
        <v>11618</v>
      </c>
      <c r="H84" s="26" t="s">
        <v>8594</v>
      </c>
      <c r="J84" s="5">
        <v>1302.5848289999999</v>
      </c>
    </row>
    <row r="85" spans="2:10" x14ac:dyDescent="0.25">
      <c r="B85" s="12" t="s">
        <v>3838</v>
      </c>
      <c r="C85" s="2" t="s">
        <v>11513</v>
      </c>
      <c r="E85" s="2" t="s">
        <v>80</v>
      </c>
      <c r="F85" s="12" t="s">
        <v>11197</v>
      </c>
      <c r="G85" s="2" t="s">
        <v>11619</v>
      </c>
      <c r="H85" s="26" t="s">
        <v>8610</v>
      </c>
      <c r="J85" s="5">
        <v>1156.5015000000001</v>
      </c>
    </row>
    <row r="86" spans="2:10" x14ac:dyDescent="0.25">
      <c r="B86" s="12" t="s">
        <v>3838</v>
      </c>
      <c r="C86" s="2" t="s">
        <v>11513</v>
      </c>
      <c r="E86" s="2" t="s">
        <v>80</v>
      </c>
      <c r="F86" s="12" t="s">
        <v>11135</v>
      </c>
      <c r="G86" s="2" t="s">
        <v>11620</v>
      </c>
      <c r="H86" s="26" t="s">
        <v>6071</v>
      </c>
      <c r="J86" s="5">
        <v>2257.6652800000002</v>
      </c>
    </row>
    <row r="87" spans="2:10" x14ac:dyDescent="0.25">
      <c r="B87" s="12" t="s">
        <v>3838</v>
      </c>
      <c r="C87" s="2" t="s">
        <v>11513</v>
      </c>
      <c r="E87" s="2" t="s">
        <v>80</v>
      </c>
      <c r="F87" s="12" t="s">
        <v>11136</v>
      </c>
      <c r="G87" s="2" t="s">
        <v>11621</v>
      </c>
      <c r="H87" s="26" t="s">
        <v>6106</v>
      </c>
      <c r="J87" s="5">
        <v>350.02054800000008</v>
      </c>
    </row>
    <row r="88" spans="2:10" x14ac:dyDescent="0.25">
      <c r="B88" s="12" t="s">
        <v>3838</v>
      </c>
      <c r="C88" s="2" t="s">
        <v>11513</v>
      </c>
      <c r="E88" s="2" t="s">
        <v>80</v>
      </c>
      <c r="F88" s="12" t="s">
        <v>11137</v>
      </c>
      <c r="G88" s="2" t="s">
        <v>11622</v>
      </c>
      <c r="H88" s="26" t="s">
        <v>6113</v>
      </c>
      <c r="J88" s="5">
        <v>1152.3573760000002</v>
      </c>
    </row>
    <row r="89" spans="2:10" x14ac:dyDescent="0.25">
      <c r="B89" s="12" t="s">
        <v>3838</v>
      </c>
      <c r="C89" s="2" t="s">
        <v>11513</v>
      </c>
      <c r="E89" s="2" t="s">
        <v>80</v>
      </c>
      <c r="F89" s="12" t="s">
        <v>11138</v>
      </c>
      <c r="G89" s="2" t="s">
        <v>11623</v>
      </c>
      <c r="H89" s="26" t="s">
        <v>6129</v>
      </c>
      <c r="J89" s="5">
        <v>3201.8459600000006</v>
      </c>
    </row>
    <row r="90" spans="2:10" x14ac:dyDescent="0.25">
      <c r="B90" s="12" t="s">
        <v>3838</v>
      </c>
      <c r="C90" s="2" t="s">
        <v>11513</v>
      </c>
      <c r="E90" s="2" t="s">
        <v>80</v>
      </c>
      <c r="F90" s="12" t="s">
        <v>11139</v>
      </c>
      <c r="G90" s="2" t="s">
        <v>11624</v>
      </c>
      <c r="H90" s="26" t="s">
        <v>5597</v>
      </c>
      <c r="J90" s="5">
        <v>3316.4448640000005</v>
      </c>
    </row>
    <row r="91" spans="2:10" x14ac:dyDescent="0.25">
      <c r="B91" s="12" t="s">
        <v>3838</v>
      </c>
      <c r="C91" s="2" t="s">
        <v>11513</v>
      </c>
      <c r="E91" s="2" t="s">
        <v>80</v>
      </c>
      <c r="F91" s="12" t="s">
        <v>11262</v>
      </c>
      <c r="G91" s="2" t="s">
        <v>11625</v>
      </c>
      <c r="H91" s="26" t="s">
        <v>5602</v>
      </c>
      <c r="J91" s="5">
        <v>106.24830000000001</v>
      </c>
    </row>
    <row r="92" spans="2:10" x14ac:dyDescent="0.25">
      <c r="B92" s="12" t="s">
        <v>3838</v>
      </c>
      <c r="C92" s="2" t="s">
        <v>11513</v>
      </c>
      <c r="E92" s="2" t="s">
        <v>80</v>
      </c>
      <c r="F92" s="12" t="s">
        <v>11198</v>
      </c>
      <c r="G92" s="2" t="s">
        <v>11626</v>
      </c>
      <c r="H92" s="26" t="s">
        <v>5956</v>
      </c>
      <c r="J92" s="5">
        <v>325.26100000000002</v>
      </c>
    </row>
    <row r="93" spans="2:10" x14ac:dyDescent="0.25">
      <c r="B93" s="12" t="s">
        <v>3838</v>
      </c>
      <c r="C93" s="2" t="s">
        <v>11513</v>
      </c>
      <c r="E93" s="2" t="s">
        <v>80</v>
      </c>
      <c r="F93" s="12" t="s">
        <v>11269</v>
      </c>
      <c r="G93" s="2" t="s">
        <v>11627</v>
      </c>
      <c r="H93" s="26" t="s">
        <v>8866</v>
      </c>
      <c r="J93" s="5">
        <v>64.260000000000005</v>
      </c>
    </row>
    <row r="94" spans="2:10" x14ac:dyDescent="0.25">
      <c r="B94" s="12" t="s">
        <v>3838</v>
      </c>
      <c r="C94" s="2" t="s">
        <v>11513</v>
      </c>
      <c r="E94" s="2" t="s">
        <v>80</v>
      </c>
      <c r="F94" s="12" t="s">
        <v>11199</v>
      </c>
      <c r="G94" s="2" t="s">
        <v>11628</v>
      </c>
      <c r="H94" s="26" t="s">
        <v>9594</v>
      </c>
      <c r="J94" s="5">
        <v>4051.7647680000009</v>
      </c>
    </row>
    <row r="95" spans="2:10" x14ac:dyDescent="0.25">
      <c r="B95" s="12" t="s">
        <v>3838</v>
      </c>
      <c r="C95" s="2" t="s">
        <v>11513</v>
      </c>
      <c r="E95" s="2" t="s">
        <v>80</v>
      </c>
      <c r="F95" s="12" t="s">
        <v>11140</v>
      </c>
      <c r="G95" s="2" t="s">
        <v>11629</v>
      </c>
      <c r="H95" s="26" t="s">
        <v>9522</v>
      </c>
      <c r="J95" s="5">
        <v>7826.6266000000014</v>
      </c>
    </row>
    <row r="96" spans="2:10" x14ac:dyDescent="0.25">
      <c r="B96" s="12" t="s">
        <v>3838</v>
      </c>
      <c r="C96" s="2" t="s">
        <v>11513</v>
      </c>
      <c r="E96" s="2" t="s">
        <v>80</v>
      </c>
      <c r="F96" s="12" t="s">
        <v>11141</v>
      </c>
      <c r="G96" s="2" t="s">
        <v>11630</v>
      </c>
      <c r="H96" s="26" t="s">
        <v>9570</v>
      </c>
      <c r="J96" s="5">
        <v>4112.4427999999998</v>
      </c>
    </row>
    <row r="97" spans="2:10" x14ac:dyDescent="0.25">
      <c r="B97" s="12" t="s">
        <v>3838</v>
      </c>
      <c r="C97" s="2" t="s">
        <v>11513</v>
      </c>
      <c r="E97" s="2" t="s">
        <v>80</v>
      </c>
      <c r="F97" s="12" t="s">
        <v>11270</v>
      </c>
      <c r="G97" s="2" t="s">
        <v>11631</v>
      </c>
      <c r="H97" s="26" t="s">
        <v>4636</v>
      </c>
      <c r="J97" s="5">
        <v>268.22421500000002</v>
      </c>
    </row>
    <row r="98" spans="2:10" x14ac:dyDescent="0.25">
      <c r="B98" s="12" t="s">
        <v>3838</v>
      </c>
      <c r="C98" s="2" t="s">
        <v>11513</v>
      </c>
      <c r="E98" s="2" t="s">
        <v>80</v>
      </c>
      <c r="F98" s="12" t="s">
        <v>11142</v>
      </c>
      <c r="G98" s="2" t="s">
        <v>11632</v>
      </c>
      <c r="H98" s="26" t="s">
        <v>4644</v>
      </c>
      <c r="J98" s="5">
        <v>3488.702464</v>
      </c>
    </row>
    <row r="99" spans="2:10" x14ac:dyDescent="0.25">
      <c r="B99" s="12" t="s">
        <v>3838</v>
      </c>
      <c r="C99" s="2" t="s">
        <v>11513</v>
      </c>
      <c r="E99" s="2" t="s">
        <v>80</v>
      </c>
      <c r="F99" s="12" t="s">
        <v>11271</v>
      </c>
      <c r="G99" s="2" t="s">
        <v>11633</v>
      </c>
      <c r="H99" s="26" t="s">
        <v>4651</v>
      </c>
      <c r="J99" s="5">
        <v>59.878777000000014</v>
      </c>
    </row>
    <row r="100" spans="2:10" x14ac:dyDescent="0.25">
      <c r="B100" s="12" t="s">
        <v>3838</v>
      </c>
      <c r="C100" s="2" t="s">
        <v>11513</v>
      </c>
      <c r="E100" s="2" t="s">
        <v>80</v>
      </c>
      <c r="F100" s="12" t="s">
        <v>11143</v>
      </c>
      <c r="G100" s="2" t="s">
        <v>11634</v>
      </c>
      <c r="H100" s="26" t="s">
        <v>4654</v>
      </c>
      <c r="J100" s="5">
        <v>2432.3735320000001</v>
      </c>
    </row>
    <row r="101" spans="2:10" x14ac:dyDescent="0.25">
      <c r="B101" s="12" t="s">
        <v>3838</v>
      </c>
      <c r="C101" s="2" t="s">
        <v>11513</v>
      </c>
      <c r="E101" s="2" t="s">
        <v>80</v>
      </c>
      <c r="F101" s="12" t="s">
        <v>11272</v>
      </c>
      <c r="G101" s="2" t="s">
        <v>11635</v>
      </c>
      <c r="H101" s="26" t="s">
        <v>4666</v>
      </c>
      <c r="J101" s="5">
        <v>436.80738400000001</v>
      </c>
    </row>
    <row r="102" spans="2:10" x14ac:dyDescent="0.25">
      <c r="B102" s="12" t="s">
        <v>3838</v>
      </c>
      <c r="C102" s="2" t="s">
        <v>11513</v>
      </c>
      <c r="E102" s="2" t="s">
        <v>80</v>
      </c>
      <c r="F102" s="12" t="s">
        <v>11144</v>
      </c>
      <c r="G102" s="2" t="s">
        <v>11636</v>
      </c>
      <c r="H102" s="26" t="s">
        <v>4669</v>
      </c>
      <c r="J102" s="5">
        <v>306.86108400000001</v>
      </c>
    </row>
    <row r="103" spans="2:10" x14ac:dyDescent="0.25">
      <c r="B103" s="12" t="s">
        <v>3838</v>
      </c>
      <c r="C103" s="2" t="s">
        <v>11513</v>
      </c>
      <c r="E103" s="2" t="s">
        <v>80</v>
      </c>
      <c r="F103" s="12" t="s">
        <v>11145</v>
      </c>
      <c r="G103" s="2" t="s">
        <v>11637</v>
      </c>
      <c r="H103" s="26" t="s">
        <v>4685</v>
      </c>
      <c r="J103" s="5">
        <v>4081.1198580000005</v>
      </c>
    </row>
    <row r="104" spans="2:10" x14ac:dyDescent="0.25">
      <c r="B104" s="12" t="s">
        <v>3838</v>
      </c>
      <c r="C104" s="2" t="s">
        <v>11513</v>
      </c>
      <c r="E104" s="2" t="s">
        <v>80</v>
      </c>
      <c r="F104" s="12" t="s">
        <v>11146</v>
      </c>
      <c r="G104" s="2" t="s">
        <v>11638</v>
      </c>
      <c r="H104" s="26" t="s">
        <v>4698</v>
      </c>
      <c r="J104" s="5">
        <v>1153.8631680000001</v>
      </c>
    </row>
    <row r="105" spans="2:10" x14ac:dyDescent="0.25">
      <c r="B105" s="12" t="s">
        <v>3838</v>
      </c>
      <c r="C105" s="2" t="s">
        <v>11513</v>
      </c>
      <c r="E105" s="2" t="s">
        <v>80</v>
      </c>
      <c r="F105" s="12" t="s">
        <v>11200</v>
      </c>
      <c r="G105" s="2" t="s">
        <v>11639</v>
      </c>
      <c r="H105" s="26" t="s">
        <v>6645</v>
      </c>
      <c r="J105" s="5">
        <v>3275.4226400000002</v>
      </c>
    </row>
    <row r="106" spans="2:10" x14ac:dyDescent="0.25">
      <c r="B106" s="12" t="s">
        <v>3838</v>
      </c>
      <c r="C106" s="2" t="s">
        <v>11513</v>
      </c>
      <c r="E106" s="2" t="s">
        <v>80</v>
      </c>
      <c r="F106" s="12" t="s">
        <v>11147</v>
      </c>
      <c r="G106" s="2" t="s">
        <v>11640</v>
      </c>
      <c r="H106" s="26" t="s">
        <v>6668</v>
      </c>
      <c r="J106" s="5">
        <v>3171.7401500000001</v>
      </c>
    </row>
    <row r="107" spans="2:10" x14ac:dyDescent="0.25">
      <c r="B107" s="12" t="s">
        <v>3838</v>
      </c>
      <c r="C107" s="2" t="s">
        <v>11513</v>
      </c>
      <c r="E107" s="2" t="s">
        <v>80</v>
      </c>
      <c r="F107" s="12" t="s">
        <v>11148</v>
      </c>
      <c r="G107" s="2" t="s">
        <v>11641</v>
      </c>
      <c r="H107" s="26" t="s">
        <v>6674</v>
      </c>
      <c r="J107" s="5">
        <v>2355.3540800000001</v>
      </c>
    </row>
    <row r="108" spans="2:10" x14ac:dyDescent="0.25">
      <c r="B108" s="12" t="s">
        <v>3838</v>
      </c>
      <c r="C108" s="2" t="s">
        <v>11513</v>
      </c>
      <c r="E108" s="2" t="s">
        <v>80</v>
      </c>
      <c r="F108" s="12" t="s">
        <v>11201</v>
      </c>
      <c r="G108" s="2" t="s">
        <v>11642</v>
      </c>
      <c r="H108" s="26" t="s">
        <v>6690</v>
      </c>
      <c r="J108" s="5">
        <v>738.40265000000022</v>
      </c>
    </row>
    <row r="109" spans="2:10" x14ac:dyDescent="0.25">
      <c r="B109" s="12" t="s">
        <v>3838</v>
      </c>
      <c r="C109" s="2" t="s">
        <v>11513</v>
      </c>
      <c r="E109" s="2" t="s">
        <v>80</v>
      </c>
      <c r="F109" s="12" t="s">
        <v>11273</v>
      </c>
      <c r="G109" s="2" t="s">
        <v>11643</v>
      </c>
      <c r="H109" s="26" t="s">
        <v>6997</v>
      </c>
      <c r="J109" s="5">
        <v>252.53834900000001</v>
      </c>
    </row>
    <row r="110" spans="2:10" x14ac:dyDescent="0.25">
      <c r="B110" s="12" t="s">
        <v>3838</v>
      </c>
      <c r="C110" s="2" t="s">
        <v>11513</v>
      </c>
      <c r="E110" s="2" t="s">
        <v>80</v>
      </c>
      <c r="F110" s="12" t="s">
        <v>11274</v>
      </c>
      <c r="G110" s="2" t="s">
        <v>11644</v>
      </c>
      <c r="H110" s="26" t="s">
        <v>7002</v>
      </c>
      <c r="J110" s="5">
        <v>328.77563100000003</v>
      </c>
    </row>
    <row r="111" spans="2:10" x14ac:dyDescent="0.25">
      <c r="B111" s="12" t="s">
        <v>3838</v>
      </c>
      <c r="C111" s="2" t="s">
        <v>11513</v>
      </c>
      <c r="E111" s="2" t="s">
        <v>80</v>
      </c>
      <c r="F111" s="12" t="s">
        <v>11202</v>
      </c>
      <c r="G111" s="2" t="s">
        <v>11645</v>
      </c>
      <c r="H111" s="26" t="s">
        <v>7010</v>
      </c>
      <c r="J111" s="5">
        <v>4479.7740400000002</v>
      </c>
    </row>
    <row r="112" spans="2:10" x14ac:dyDescent="0.25">
      <c r="B112" s="12" t="s">
        <v>3838</v>
      </c>
      <c r="C112" s="2" t="s">
        <v>11513</v>
      </c>
      <c r="E112" s="2" t="s">
        <v>80</v>
      </c>
      <c r="F112" s="12" t="s">
        <v>11149</v>
      </c>
      <c r="G112" s="2" t="s">
        <v>11646</v>
      </c>
      <c r="H112" s="26" t="s">
        <v>6301</v>
      </c>
      <c r="J112" s="5">
        <v>3095.4218799999999</v>
      </c>
    </row>
    <row r="113" spans="2:10" x14ac:dyDescent="0.25">
      <c r="B113" s="12" t="s">
        <v>3838</v>
      </c>
      <c r="C113" s="2" t="s">
        <v>11513</v>
      </c>
      <c r="E113" s="2" t="s">
        <v>80</v>
      </c>
      <c r="F113" s="12" t="s">
        <v>11263</v>
      </c>
      <c r="G113" s="2" t="s">
        <v>11647</v>
      </c>
      <c r="H113" s="26" t="s">
        <v>6315</v>
      </c>
      <c r="J113" s="5">
        <v>106.24830000000001</v>
      </c>
    </row>
    <row r="114" spans="2:10" x14ac:dyDescent="0.25">
      <c r="B114" s="12" t="s">
        <v>3838</v>
      </c>
      <c r="C114" s="2" t="s">
        <v>11513</v>
      </c>
      <c r="E114" s="2" t="s">
        <v>80</v>
      </c>
      <c r="F114" s="12" t="s">
        <v>11203</v>
      </c>
      <c r="G114" s="2" t="s">
        <v>11648</v>
      </c>
      <c r="H114" s="26" t="s">
        <v>6331</v>
      </c>
      <c r="J114" s="5">
        <v>3264.6368200000006</v>
      </c>
    </row>
    <row r="115" spans="2:10" x14ac:dyDescent="0.25">
      <c r="B115" s="12" t="s">
        <v>3838</v>
      </c>
      <c r="C115" s="2" t="s">
        <v>11513</v>
      </c>
      <c r="E115" s="2" t="s">
        <v>80</v>
      </c>
      <c r="F115" s="12" t="s">
        <v>11264</v>
      </c>
      <c r="G115" s="2" t="s">
        <v>11649</v>
      </c>
      <c r="H115" s="26" t="s">
        <v>6546</v>
      </c>
      <c r="J115" s="5">
        <v>318.74490000000003</v>
      </c>
    </row>
    <row r="116" spans="2:10" x14ac:dyDescent="0.25">
      <c r="B116" s="12" t="s">
        <v>3838</v>
      </c>
      <c r="C116" s="2" t="s">
        <v>11513</v>
      </c>
      <c r="E116" s="2" t="s">
        <v>80</v>
      </c>
      <c r="F116" s="12" t="s">
        <v>11204</v>
      </c>
      <c r="G116" s="2" t="s">
        <v>11650</v>
      </c>
      <c r="H116" s="26" t="s">
        <v>6567</v>
      </c>
      <c r="J116" s="5">
        <v>3874.1952120000001</v>
      </c>
    </row>
    <row r="117" spans="2:10" x14ac:dyDescent="0.25">
      <c r="B117" s="12" t="s">
        <v>3838</v>
      </c>
      <c r="C117" s="2" t="s">
        <v>11513</v>
      </c>
      <c r="E117" s="2" t="s">
        <v>80</v>
      </c>
      <c r="F117" s="12" t="s">
        <v>11205</v>
      </c>
      <c r="G117" s="2" t="s">
        <v>11651</v>
      </c>
      <c r="H117" s="26" t="s">
        <v>6572</v>
      </c>
      <c r="J117" s="5">
        <v>991.43396500000017</v>
      </c>
    </row>
    <row r="118" spans="2:10" x14ac:dyDescent="0.25">
      <c r="B118" s="12" t="s">
        <v>3838</v>
      </c>
      <c r="C118" s="2" t="s">
        <v>11513</v>
      </c>
      <c r="E118" s="2" t="s">
        <v>80</v>
      </c>
      <c r="F118" s="12" t="s">
        <v>11275</v>
      </c>
      <c r="G118" s="2" t="s">
        <v>11652</v>
      </c>
      <c r="H118" s="26" t="s">
        <v>6737</v>
      </c>
      <c r="J118" s="5">
        <v>378.92034399999994</v>
      </c>
    </row>
    <row r="119" spans="2:10" x14ac:dyDescent="0.25">
      <c r="B119" s="12" t="s">
        <v>3838</v>
      </c>
      <c r="C119" s="2" t="s">
        <v>11513</v>
      </c>
      <c r="E119" s="2" t="s">
        <v>80</v>
      </c>
      <c r="F119" s="12" t="s">
        <v>11150</v>
      </c>
      <c r="G119" s="2" t="s">
        <v>11653</v>
      </c>
      <c r="H119" s="26" t="s">
        <v>6750</v>
      </c>
      <c r="J119" s="5">
        <v>2465.2393600000005</v>
      </c>
    </row>
    <row r="120" spans="2:10" x14ac:dyDescent="0.25">
      <c r="B120" s="12" t="s">
        <v>3838</v>
      </c>
      <c r="C120" s="2" t="s">
        <v>11513</v>
      </c>
      <c r="E120" s="2" t="s">
        <v>80</v>
      </c>
      <c r="F120" s="12" t="s">
        <v>11276</v>
      </c>
      <c r="G120" s="2" t="s">
        <v>11654</v>
      </c>
      <c r="H120" s="26" t="s">
        <v>6778</v>
      </c>
      <c r="J120" s="5">
        <v>349.84192900000005</v>
      </c>
    </row>
    <row r="121" spans="2:10" x14ac:dyDescent="0.25">
      <c r="B121" s="12" t="s">
        <v>3838</v>
      </c>
      <c r="C121" s="2" t="s">
        <v>11513</v>
      </c>
      <c r="E121" s="2" t="s">
        <v>80</v>
      </c>
      <c r="F121" s="12" t="s">
        <v>11206</v>
      </c>
      <c r="G121" s="2" t="s">
        <v>11655</v>
      </c>
      <c r="H121" s="26" t="s">
        <v>6779</v>
      </c>
      <c r="J121" s="5">
        <v>1251.6256800000001</v>
      </c>
    </row>
    <row r="122" spans="2:10" x14ac:dyDescent="0.25">
      <c r="B122" s="12" t="s">
        <v>3838</v>
      </c>
      <c r="C122" s="2" t="s">
        <v>11513</v>
      </c>
      <c r="E122" s="2" t="s">
        <v>80</v>
      </c>
      <c r="F122" s="12" t="s">
        <v>11207</v>
      </c>
      <c r="G122" s="2" t="s">
        <v>11656</v>
      </c>
      <c r="H122" s="26" t="s">
        <v>6802</v>
      </c>
      <c r="J122" s="5">
        <v>2043.4760240000001</v>
      </c>
    </row>
    <row r="123" spans="2:10" x14ac:dyDescent="0.25">
      <c r="B123" s="12" t="s">
        <v>3838</v>
      </c>
      <c r="C123" s="2" t="s">
        <v>11513</v>
      </c>
      <c r="E123" s="2" t="s">
        <v>80</v>
      </c>
      <c r="F123" s="12" t="s">
        <v>11208</v>
      </c>
      <c r="G123" s="2" t="s">
        <v>11657</v>
      </c>
      <c r="H123" s="26" t="s">
        <v>9178</v>
      </c>
      <c r="J123" s="5">
        <v>6591.1899519999997</v>
      </c>
    </row>
    <row r="124" spans="2:10" x14ac:dyDescent="0.25">
      <c r="B124" s="12" t="s">
        <v>3838</v>
      </c>
      <c r="C124" s="2" t="s">
        <v>11513</v>
      </c>
      <c r="E124" s="2" t="s">
        <v>80</v>
      </c>
      <c r="F124" s="12" t="s">
        <v>11277</v>
      </c>
      <c r="G124" s="2" t="s">
        <v>11658</v>
      </c>
      <c r="H124" s="26" t="s">
        <v>9187</v>
      </c>
      <c r="J124" s="5">
        <v>963.03022899999996</v>
      </c>
    </row>
    <row r="125" spans="2:10" x14ac:dyDescent="0.25">
      <c r="B125" s="12" t="s">
        <v>3838</v>
      </c>
      <c r="C125" s="2" t="s">
        <v>11513</v>
      </c>
      <c r="E125" s="2" t="s">
        <v>80</v>
      </c>
      <c r="F125" s="12" t="s">
        <v>11209</v>
      </c>
      <c r="G125" s="2" t="s">
        <v>11659</v>
      </c>
      <c r="H125" s="26" t="s">
        <v>9215</v>
      </c>
      <c r="J125" s="5">
        <v>2871.9741520000002</v>
      </c>
    </row>
    <row r="126" spans="2:10" x14ac:dyDescent="0.25">
      <c r="B126" s="12" t="s">
        <v>3838</v>
      </c>
      <c r="C126" s="2" t="s">
        <v>11513</v>
      </c>
      <c r="E126" s="2" t="s">
        <v>80</v>
      </c>
      <c r="F126" s="12" t="s">
        <v>11278</v>
      </c>
      <c r="G126" s="2" t="s">
        <v>11660</v>
      </c>
      <c r="H126" s="26" t="s">
        <v>9904</v>
      </c>
      <c r="J126" s="5">
        <v>452.64492400000006</v>
      </c>
    </row>
    <row r="127" spans="2:10" x14ac:dyDescent="0.25">
      <c r="B127" s="12" t="s">
        <v>3838</v>
      </c>
      <c r="C127" s="2" t="s">
        <v>11513</v>
      </c>
      <c r="E127" s="2" t="s">
        <v>80</v>
      </c>
      <c r="F127" s="12" t="s">
        <v>11210</v>
      </c>
      <c r="G127" s="2" t="s">
        <v>11661</v>
      </c>
      <c r="H127" s="26" t="s">
        <v>9905</v>
      </c>
      <c r="J127" s="5">
        <v>658.4287680000001</v>
      </c>
    </row>
    <row r="128" spans="2:10" x14ac:dyDescent="0.25">
      <c r="B128" s="12" t="s">
        <v>3838</v>
      </c>
      <c r="C128" s="2" t="s">
        <v>11513</v>
      </c>
      <c r="E128" s="2" t="s">
        <v>80</v>
      </c>
      <c r="F128" s="12" t="s">
        <v>11151</v>
      </c>
      <c r="G128" s="2" t="s">
        <v>11662</v>
      </c>
      <c r="H128" s="26" t="s">
        <v>10242</v>
      </c>
      <c r="J128" s="5">
        <v>1628.4965040000002</v>
      </c>
    </row>
    <row r="129" spans="2:10" x14ac:dyDescent="0.25">
      <c r="B129" s="12" t="s">
        <v>3838</v>
      </c>
      <c r="C129" s="2" t="s">
        <v>11513</v>
      </c>
      <c r="E129" s="2" t="s">
        <v>80</v>
      </c>
      <c r="F129" s="12" t="s">
        <v>11211</v>
      </c>
      <c r="G129" s="2" t="s">
        <v>11663</v>
      </c>
      <c r="H129" s="26" t="s">
        <v>10250</v>
      </c>
      <c r="J129" s="5">
        <v>2751.7091479999999</v>
      </c>
    </row>
    <row r="130" spans="2:10" x14ac:dyDescent="0.25">
      <c r="B130" s="12" t="s">
        <v>3838</v>
      </c>
      <c r="C130" s="2" t="s">
        <v>11513</v>
      </c>
      <c r="E130" s="2" t="s">
        <v>80</v>
      </c>
      <c r="F130" s="12" t="s">
        <v>11152</v>
      </c>
      <c r="G130" s="2" t="s">
        <v>11664</v>
      </c>
      <c r="H130" s="26" t="s">
        <v>7600</v>
      </c>
      <c r="J130" s="5">
        <v>723.87735700000007</v>
      </c>
    </row>
    <row r="131" spans="2:10" x14ac:dyDescent="0.25">
      <c r="B131" s="12" t="s">
        <v>3838</v>
      </c>
      <c r="C131" s="2" t="s">
        <v>11513</v>
      </c>
      <c r="E131" s="2" t="s">
        <v>80</v>
      </c>
      <c r="F131" s="12" t="s">
        <v>11279</v>
      </c>
      <c r="G131" s="2" t="s">
        <v>11665</v>
      </c>
      <c r="H131" s="26" t="s">
        <v>10602</v>
      </c>
      <c r="J131" s="5">
        <v>454.24909500000001</v>
      </c>
    </row>
    <row r="132" spans="2:10" x14ac:dyDescent="0.25">
      <c r="B132" s="12" t="s">
        <v>3838</v>
      </c>
      <c r="C132" s="2" t="s">
        <v>11513</v>
      </c>
      <c r="E132" s="2" t="s">
        <v>80</v>
      </c>
      <c r="F132" s="12" t="s">
        <v>11153</v>
      </c>
      <c r="G132" s="2" t="s">
        <v>11666</v>
      </c>
      <c r="H132" s="26" t="s">
        <v>6491</v>
      </c>
      <c r="J132" s="5">
        <v>149.5575</v>
      </c>
    </row>
    <row r="133" spans="2:10" x14ac:dyDescent="0.25">
      <c r="B133" s="12" t="s">
        <v>3838</v>
      </c>
      <c r="C133" s="2" t="s">
        <v>11513</v>
      </c>
      <c r="E133" s="2" t="s">
        <v>80</v>
      </c>
      <c r="F133" s="12" t="s">
        <v>11212</v>
      </c>
      <c r="G133" s="2" t="s">
        <v>11667</v>
      </c>
      <c r="H133" s="26" t="s">
        <v>6517</v>
      </c>
      <c r="J133" s="5">
        <v>2035.0017280000002</v>
      </c>
    </row>
    <row r="134" spans="2:10" x14ac:dyDescent="0.25">
      <c r="B134" s="12" t="s">
        <v>3838</v>
      </c>
      <c r="C134" s="2" t="s">
        <v>11513</v>
      </c>
      <c r="E134" s="2" t="s">
        <v>80</v>
      </c>
      <c r="F134" s="12" t="s">
        <v>11280</v>
      </c>
      <c r="G134" s="2" t="s">
        <v>11668</v>
      </c>
      <c r="H134" s="26" t="s">
        <v>6534</v>
      </c>
      <c r="J134" s="5">
        <v>348.89202</v>
      </c>
    </row>
    <row r="135" spans="2:10" x14ac:dyDescent="0.25">
      <c r="B135" s="12" t="s">
        <v>3838</v>
      </c>
      <c r="C135" s="2" t="s">
        <v>11513</v>
      </c>
      <c r="E135" s="2" t="s">
        <v>80</v>
      </c>
      <c r="F135" s="12" t="s">
        <v>11154</v>
      </c>
      <c r="G135" s="2" t="s">
        <v>11669</v>
      </c>
      <c r="H135" s="26" t="s">
        <v>6836</v>
      </c>
      <c r="J135" s="5">
        <v>317.64840000000004</v>
      </c>
    </row>
    <row r="136" spans="2:10" x14ac:dyDescent="0.25">
      <c r="B136" s="12" t="s">
        <v>3838</v>
      </c>
      <c r="C136" s="2" t="s">
        <v>11513</v>
      </c>
      <c r="E136" s="2" t="s">
        <v>80</v>
      </c>
      <c r="F136" s="12" t="s">
        <v>11281</v>
      </c>
      <c r="G136" s="2" t="s">
        <v>11670</v>
      </c>
      <c r="H136" s="26" t="s">
        <v>10798</v>
      </c>
      <c r="J136" s="5">
        <v>272.00476000000003</v>
      </c>
    </row>
    <row r="137" spans="2:10" x14ac:dyDescent="0.25">
      <c r="B137" s="12" t="s">
        <v>3838</v>
      </c>
      <c r="C137" s="2" t="s">
        <v>11513</v>
      </c>
      <c r="E137" s="2" t="s">
        <v>80</v>
      </c>
      <c r="F137" s="12" t="s">
        <v>11155</v>
      </c>
      <c r="G137" s="2" t="s">
        <v>11671</v>
      </c>
      <c r="H137" s="26" t="s">
        <v>4112</v>
      </c>
      <c r="J137" s="5">
        <v>1074.14653</v>
      </c>
    </row>
    <row r="138" spans="2:10" x14ac:dyDescent="0.25">
      <c r="B138" s="12" t="s">
        <v>3838</v>
      </c>
      <c r="C138" s="2" t="s">
        <v>11513</v>
      </c>
      <c r="E138" s="2" t="s">
        <v>80</v>
      </c>
      <c r="F138" s="12" t="s">
        <v>11213</v>
      </c>
      <c r="G138" s="2" t="s">
        <v>11672</v>
      </c>
      <c r="H138" s="26" t="s">
        <v>6957</v>
      </c>
      <c r="J138" s="5">
        <v>3707.2838400000005</v>
      </c>
    </row>
    <row r="139" spans="2:10" x14ac:dyDescent="0.25">
      <c r="B139" s="12" t="s">
        <v>3838</v>
      </c>
      <c r="C139" s="2" t="s">
        <v>11513</v>
      </c>
      <c r="E139" s="2" t="s">
        <v>80</v>
      </c>
      <c r="F139" s="12" t="s">
        <v>11156</v>
      </c>
      <c r="G139" s="2" t="s">
        <v>11673</v>
      </c>
      <c r="H139" s="26" t="s">
        <v>10908</v>
      </c>
      <c r="J139" s="5">
        <v>2917.8861200000001</v>
      </c>
    </row>
    <row r="140" spans="2:10" x14ac:dyDescent="0.25">
      <c r="B140" s="12" t="s">
        <v>3838</v>
      </c>
      <c r="C140" s="2" t="s">
        <v>11513</v>
      </c>
      <c r="E140" s="2" t="s">
        <v>80</v>
      </c>
      <c r="F140" s="12" t="s">
        <v>11282</v>
      </c>
      <c r="G140" s="2" t="s">
        <v>11674</v>
      </c>
      <c r="H140" s="26" t="s">
        <v>5741</v>
      </c>
      <c r="J140" s="5">
        <v>59.494049999999994</v>
      </c>
    </row>
    <row r="141" spans="2:10" x14ac:dyDescent="0.25">
      <c r="B141" s="12" t="s">
        <v>3838</v>
      </c>
      <c r="C141" s="2" t="s">
        <v>11513</v>
      </c>
      <c r="E141" s="2" t="s">
        <v>80</v>
      </c>
      <c r="F141" s="12" t="s">
        <v>11157</v>
      </c>
      <c r="G141" s="2" t="s">
        <v>11675</v>
      </c>
      <c r="H141" s="26" t="s">
        <v>5748</v>
      </c>
      <c r="J141" s="5">
        <v>82.619489999999999</v>
      </c>
    </row>
    <row r="142" spans="2:10" x14ac:dyDescent="0.25">
      <c r="B142" s="12" t="s">
        <v>3838</v>
      </c>
      <c r="C142" s="2" t="s">
        <v>11513</v>
      </c>
      <c r="E142" s="2" t="s">
        <v>80</v>
      </c>
      <c r="F142" s="12" t="s">
        <v>11158</v>
      </c>
      <c r="G142" s="2" t="s">
        <v>11676</v>
      </c>
      <c r="H142" s="26" t="s">
        <v>5764</v>
      </c>
      <c r="J142" s="5">
        <v>2220.9898880000001</v>
      </c>
    </row>
    <row r="143" spans="2:10" x14ac:dyDescent="0.25">
      <c r="B143" s="12" t="s">
        <v>3838</v>
      </c>
      <c r="C143" s="2" t="s">
        <v>11513</v>
      </c>
      <c r="E143" s="2" t="s">
        <v>80</v>
      </c>
      <c r="F143" s="12" t="s">
        <v>11265</v>
      </c>
      <c r="G143" s="2" t="s">
        <v>11677</v>
      </c>
      <c r="H143" s="26" t="s">
        <v>5774</v>
      </c>
      <c r="J143" s="5">
        <v>318.74490000000003</v>
      </c>
    </row>
    <row r="144" spans="2:10" x14ac:dyDescent="0.25">
      <c r="B144" s="12" t="s">
        <v>3838</v>
      </c>
      <c r="C144" s="2" t="s">
        <v>11513</v>
      </c>
      <c r="E144" s="2" t="s">
        <v>80</v>
      </c>
      <c r="F144" s="12" t="s">
        <v>11214</v>
      </c>
      <c r="G144" s="2" t="s">
        <v>11678</v>
      </c>
      <c r="H144" s="26" t="s">
        <v>5780</v>
      </c>
      <c r="J144" s="5">
        <v>2149.5395680000001</v>
      </c>
    </row>
    <row r="145" spans="2:10" x14ac:dyDescent="0.25">
      <c r="B145" s="12" t="s">
        <v>3838</v>
      </c>
      <c r="C145" s="2" t="s">
        <v>11513</v>
      </c>
      <c r="E145" s="2" t="s">
        <v>80</v>
      </c>
      <c r="F145" s="12" t="s">
        <v>11215</v>
      </c>
      <c r="G145" s="2" t="s">
        <v>11679</v>
      </c>
      <c r="H145" s="26" t="s">
        <v>5795</v>
      </c>
      <c r="J145" s="5">
        <v>3583.3620000000001</v>
      </c>
    </row>
    <row r="146" spans="2:10" x14ac:dyDescent="0.25">
      <c r="B146" s="12" t="s">
        <v>3838</v>
      </c>
      <c r="C146" s="2" t="s">
        <v>11513</v>
      </c>
      <c r="E146" s="2" t="s">
        <v>80</v>
      </c>
      <c r="F146" s="12" t="s">
        <v>11283</v>
      </c>
      <c r="G146" s="2" t="s">
        <v>11680</v>
      </c>
      <c r="H146" s="26" t="s">
        <v>7845</v>
      </c>
      <c r="J146" s="5">
        <v>304.708102</v>
      </c>
    </row>
    <row r="147" spans="2:10" x14ac:dyDescent="0.25">
      <c r="B147" s="12" t="s">
        <v>3838</v>
      </c>
      <c r="C147" s="2" t="s">
        <v>11513</v>
      </c>
      <c r="E147" s="2" t="s">
        <v>80</v>
      </c>
      <c r="F147" s="12" t="s">
        <v>11216</v>
      </c>
      <c r="G147" s="2" t="s">
        <v>11681</v>
      </c>
      <c r="H147" s="26" t="s">
        <v>7847</v>
      </c>
      <c r="J147" s="5">
        <v>517.81360800000004</v>
      </c>
    </row>
    <row r="148" spans="2:10" x14ac:dyDescent="0.25">
      <c r="B148" s="12" t="s">
        <v>3838</v>
      </c>
      <c r="C148" s="2" t="s">
        <v>11513</v>
      </c>
      <c r="E148" s="2" t="s">
        <v>80</v>
      </c>
      <c r="F148" s="12" t="s">
        <v>11159</v>
      </c>
      <c r="G148" s="2" t="s">
        <v>11682</v>
      </c>
      <c r="H148" s="26" t="s">
        <v>7862</v>
      </c>
      <c r="J148" s="5">
        <v>5189.6626919999999</v>
      </c>
    </row>
    <row r="149" spans="2:10" x14ac:dyDescent="0.25">
      <c r="B149" s="12" t="s">
        <v>3838</v>
      </c>
      <c r="C149" s="2" t="s">
        <v>11513</v>
      </c>
      <c r="E149" s="2" t="s">
        <v>80</v>
      </c>
      <c r="F149" s="12" t="s">
        <v>11284</v>
      </c>
      <c r="G149" s="2" t="s">
        <v>11683</v>
      </c>
      <c r="H149" s="26" t="s">
        <v>7866</v>
      </c>
      <c r="J149" s="5">
        <v>119.79500500000002</v>
      </c>
    </row>
    <row r="150" spans="2:10" x14ac:dyDescent="0.25">
      <c r="B150" s="12" t="s">
        <v>3838</v>
      </c>
      <c r="C150" s="2" t="s">
        <v>11513</v>
      </c>
      <c r="E150" s="2" t="s">
        <v>80</v>
      </c>
      <c r="F150" s="12" t="s">
        <v>11160</v>
      </c>
      <c r="G150" s="2" t="s">
        <v>11684</v>
      </c>
      <c r="H150" s="26" t="s">
        <v>7888</v>
      </c>
      <c r="J150" s="5">
        <v>3706.5063280000004</v>
      </c>
    </row>
    <row r="151" spans="2:10" x14ac:dyDescent="0.25">
      <c r="B151" s="12" t="s">
        <v>3838</v>
      </c>
      <c r="C151" s="2" t="s">
        <v>11513</v>
      </c>
      <c r="E151" s="2" t="s">
        <v>80</v>
      </c>
      <c r="F151" s="12" t="s">
        <v>11161</v>
      </c>
      <c r="G151" s="2" t="s">
        <v>11685</v>
      </c>
      <c r="H151" s="26" t="s">
        <v>9629</v>
      </c>
      <c r="J151" s="5">
        <v>2060.8589999999999</v>
      </c>
    </row>
    <row r="152" spans="2:10" x14ac:dyDescent="0.25">
      <c r="B152" s="12" t="s">
        <v>3838</v>
      </c>
      <c r="C152" s="2" t="s">
        <v>11513</v>
      </c>
      <c r="E152" s="2" t="s">
        <v>80</v>
      </c>
      <c r="F152" s="12" t="s">
        <v>11217</v>
      </c>
      <c r="G152" s="2" t="s">
        <v>11686</v>
      </c>
      <c r="H152" s="26" t="s">
        <v>9645</v>
      </c>
      <c r="J152" s="5">
        <v>1097.5404000000001</v>
      </c>
    </row>
    <row r="153" spans="2:10" x14ac:dyDescent="0.25">
      <c r="B153" s="12" t="s">
        <v>3838</v>
      </c>
      <c r="C153" s="2" t="s">
        <v>11513</v>
      </c>
      <c r="E153" s="2" t="s">
        <v>80</v>
      </c>
      <c r="F153" s="12" t="s">
        <v>11285</v>
      </c>
      <c r="G153" s="2" t="s">
        <v>11687</v>
      </c>
      <c r="H153" s="26" t="s">
        <v>8919</v>
      </c>
      <c r="J153" s="5">
        <v>97.311485000000005</v>
      </c>
    </row>
    <row r="154" spans="2:10" x14ac:dyDescent="0.25">
      <c r="B154" s="12" t="s">
        <v>3838</v>
      </c>
      <c r="C154" s="2" t="s">
        <v>11513</v>
      </c>
      <c r="E154" s="2" t="s">
        <v>80</v>
      </c>
      <c r="F154" s="12" t="s">
        <v>11162</v>
      </c>
      <c r="G154" s="2" t="s">
        <v>11688</v>
      </c>
      <c r="H154" s="26" t="s">
        <v>8922</v>
      </c>
      <c r="J154" s="5">
        <v>4292.5542810000006</v>
      </c>
    </row>
    <row r="155" spans="2:10" x14ac:dyDescent="0.25">
      <c r="B155" s="12" t="s">
        <v>3838</v>
      </c>
      <c r="C155" s="2" t="s">
        <v>11513</v>
      </c>
      <c r="E155" s="2" t="s">
        <v>80</v>
      </c>
      <c r="F155" s="12" t="s">
        <v>11378</v>
      </c>
      <c r="G155" s="2" t="s">
        <v>11689</v>
      </c>
      <c r="H155" s="26" t="s">
        <v>8936</v>
      </c>
      <c r="J155" s="5">
        <v>106.24830000000001</v>
      </c>
    </row>
    <row r="156" spans="2:10" x14ac:dyDescent="0.25">
      <c r="B156" s="12" t="s">
        <v>3838</v>
      </c>
      <c r="C156" s="2" t="s">
        <v>11513</v>
      </c>
      <c r="E156" s="2" t="s">
        <v>80</v>
      </c>
      <c r="F156" s="12" t="s">
        <v>11163</v>
      </c>
      <c r="G156" s="2" t="s">
        <v>11690</v>
      </c>
      <c r="H156" s="26" t="s">
        <v>8957</v>
      </c>
      <c r="J156" s="5">
        <v>4934.7937280000006</v>
      </c>
    </row>
    <row r="157" spans="2:10" x14ac:dyDescent="0.25">
      <c r="B157" s="12" t="s">
        <v>3838</v>
      </c>
      <c r="C157" s="2" t="s">
        <v>11513</v>
      </c>
      <c r="E157" s="2" t="s">
        <v>80</v>
      </c>
      <c r="F157" s="12" t="s">
        <v>11286</v>
      </c>
      <c r="G157" s="2" t="s">
        <v>11691</v>
      </c>
      <c r="H157" s="26" t="s">
        <v>5400</v>
      </c>
      <c r="J157" s="5">
        <v>903.78300200000012</v>
      </c>
    </row>
    <row r="158" spans="2:10" x14ac:dyDescent="0.25">
      <c r="B158" s="12" t="s">
        <v>3838</v>
      </c>
      <c r="C158" s="2" t="s">
        <v>11513</v>
      </c>
      <c r="E158" s="2" t="s">
        <v>80</v>
      </c>
      <c r="F158" s="12" t="s">
        <v>11164</v>
      </c>
      <c r="G158" s="2" t="s">
        <v>11692</v>
      </c>
      <c r="H158" s="26" t="s">
        <v>4808</v>
      </c>
      <c r="J158" s="5">
        <v>3288.2634200000002</v>
      </c>
    </row>
    <row r="159" spans="2:10" x14ac:dyDescent="0.25">
      <c r="B159" s="12" t="s">
        <v>3838</v>
      </c>
      <c r="C159" s="2" t="s">
        <v>11513</v>
      </c>
      <c r="E159" s="2" t="s">
        <v>80</v>
      </c>
      <c r="F159" s="12" t="s">
        <v>11287</v>
      </c>
      <c r="G159" s="2" t="s">
        <v>11693</v>
      </c>
      <c r="H159" s="26" t="s">
        <v>4838</v>
      </c>
      <c r="J159" s="5">
        <v>591.82909200000017</v>
      </c>
    </row>
    <row r="160" spans="2:10" x14ac:dyDescent="0.25">
      <c r="B160" s="12" t="s">
        <v>3838</v>
      </c>
      <c r="C160" s="2" t="s">
        <v>11513</v>
      </c>
      <c r="E160" s="2" t="s">
        <v>80</v>
      </c>
      <c r="F160" s="12" t="s">
        <v>11165</v>
      </c>
      <c r="G160" s="2" t="s">
        <v>11694</v>
      </c>
      <c r="H160" s="26" t="s">
        <v>4849</v>
      </c>
      <c r="J160" s="5">
        <v>3501.4149280000001</v>
      </c>
    </row>
    <row r="161" spans="2:10" x14ac:dyDescent="0.25">
      <c r="B161" s="12" t="s">
        <v>3838</v>
      </c>
      <c r="C161" s="2" t="s">
        <v>11513</v>
      </c>
      <c r="E161" s="2" t="s">
        <v>80</v>
      </c>
      <c r="F161" s="12" t="s">
        <v>11218</v>
      </c>
      <c r="G161" s="2" t="s">
        <v>11695</v>
      </c>
      <c r="H161" s="26" t="s">
        <v>8435</v>
      </c>
      <c r="J161" s="5">
        <v>252.84168000000003</v>
      </c>
    </row>
    <row r="162" spans="2:10" x14ac:dyDescent="0.25">
      <c r="B162" s="12" t="s">
        <v>3838</v>
      </c>
      <c r="C162" s="2" t="s">
        <v>11513</v>
      </c>
      <c r="E162" s="2" t="s">
        <v>80</v>
      </c>
      <c r="F162" s="12" t="s">
        <v>11288</v>
      </c>
      <c r="G162" s="2" t="s">
        <v>11696</v>
      </c>
      <c r="H162" s="26" t="s">
        <v>8440</v>
      </c>
      <c r="J162" s="5">
        <v>215.70126999999999</v>
      </c>
    </row>
    <row r="163" spans="2:10" x14ac:dyDescent="0.25">
      <c r="B163" s="12" t="s">
        <v>3838</v>
      </c>
      <c r="C163" s="2" t="s">
        <v>11513</v>
      </c>
      <c r="E163" s="2" t="s">
        <v>80</v>
      </c>
      <c r="F163" s="12" t="s">
        <v>11219</v>
      </c>
      <c r="G163" s="2" t="s">
        <v>11697</v>
      </c>
      <c r="H163" s="26" t="s">
        <v>4984</v>
      </c>
      <c r="J163" s="5">
        <v>314.28750000000002</v>
      </c>
    </row>
    <row r="164" spans="2:10" x14ac:dyDescent="0.25">
      <c r="B164" s="12" t="s">
        <v>3838</v>
      </c>
      <c r="C164" s="2" t="s">
        <v>11513</v>
      </c>
      <c r="E164" s="2" t="s">
        <v>80</v>
      </c>
      <c r="F164" s="12" t="s">
        <v>11220</v>
      </c>
      <c r="G164" s="2" t="s">
        <v>11698</v>
      </c>
      <c r="H164" s="26" t="s">
        <v>5014</v>
      </c>
      <c r="J164" s="5">
        <v>3340.55134</v>
      </c>
    </row>
    <row r="165" spans="2:10" x14ac:dyDescent="0.25">
      <c r="B165" s="12" t="s">
        <v>3838</v>
      </c>
      <c r="C165" s="2" t="s">
        <v>11513</v>
      </c>
      <c r="E165" s="2" t="s">
        <v>80</v>
      </c>
      <c r="F165" s="12" t="s">
        <v>11221</v>
      </c>
      <c r="G165" s="2" t="s">
        <v>11699</v>
      </c>
      <c r="H165" s="26" t="s">
        <v>5021</v>
      </c>
      <c r="J165" s="5">
        <v>865.58097600000008</v>
      </c>
    </row>
    <row r="166" spans="2:10" x14ac:dyDescent="0.25">
      <c r="B166" s="12" t="s">
        <v>3838</v>
      </c>
      <c r="C166" s="2" t="s">
        <v>11513</v>
      </c>
      <c r="E166" s="2" t="s">
        <v>80</v>
      </c>
      <c r="F166" s="12" t="s">
        <v>11166</v>
      </c>
      <c r="G166" s="2" t="s">
        <v>11700</v>
      </c>
      <c r="H166" s="26" t="s">
        <v>5025</v>
      </c>
      <c r="J166" s="5">
        <v>1174.2180160000003</v>
      </c>
    </row>
    <row r="167" spans="2:10" x14ac:dyDescent="0.25">
      <c r="B167" s="12" t="s">
        <v>3838</v>
      </c>
      <c r="C167" s="2" t="s">
        <v>11513</v>
      </c>
      <c r="E167" s="2" t="s">
        <v>80</v>
      </c>
      <c r="F167" s="12" t="s">
        <v>11289</v>
      </c>
      <c r="G167" s="2" t="s">
        <v>11701</v>
      </c>
      <c r="H167" s="26" t="s">
        <v>5047</v>
      </c>
      <c r="J167" s="5">
        <v>238.89895999999999</v>
      </c>
    </row>
    <row r="168" spans="2:10" x14ac:dyDescent="0.25">
      <c r="B168" s="12" t="s">
        <v>3838</v>
      </c>
      <c r="C168" s="2" t="s">
        <v>11513</v>
      </c>
      <c r="E168" s="2" t="s">
        <v>80</v>
      </c>
      <c r="F168" s="12" t="s">
        <v>11290</v>
      </c>
      <c r="G168" s="2" t="s">
        <v>11702</v>
      </c>
      <c r="H168" s="26" t="s">
        <v>9820</v>
      </c>
      <c r="J168" s="5">
        <v>143.03036700000001</v>
      </c>
    </row>
    <row r="169" spans="2:10" x14ac:dyDescent="0.25">
      <c r="B169" s="12" t="s">
        <v>3838</v>
      </c>
      <c r="C169" s="2" t="s">
        <v>11513</v>
      </c>
      <c r="E169" s="2" t="s">
        <v>80</v>
      </c>
      <c r="F169" s="12" t="s">
        <v>11167</v>
      </c>
      <c r="G169" s="2" t="s">
        <v>11703</v>
      </c>
      <c r="H169" s="26" t="s">
        <v>10129</v>
      </c>
      <c r="J169" s="5">
        <v>3317.1294200000002</v>
      </c>
    </row>
    <row r="170" spans="2:10" x14ac:dyDescent="0.25">
      <c r="B170" s="12" t="s">
        <v>3838</v>
      </c>
      <c r="C170" s="2" t="s">
        <v>11513</v>
      </c>
      <c r="E170" s="2" t="s">
        <v>80</v>
      </c>
      <c r="F170" s="12" t="s">
        <v>11168</v>
      </c>
      <c r="G170" s="2" t="s">
        <v>11704</v>
      </c>
      <c r="H170" s="26" t="s">
        <v>10133</v>
      </c>
      <c r="J170" s="5">
        <v>331.85455200000007</v>
      </c>
    </row>
    <row r="171" spans="2:10" x14ac:dyDescent="0.25">
      <c r="B171" s="12" t="s">
        <v>3838</v>
      </c>
      <c r="C171" s="2" t="s">
        <v>11513</v>
      </c>
      <c r="E171" s="2" t="s">
        <v>80</v>
      </c>
      <c r="F171" s="12" t="s">
        <v>11222</v>
      </c>
      <c r="G171" s="2" t="s">
        <v>11705</v>
      </c>
      <c r="H171" s="26" t="s">
        <v>10137</v>
      </c>
      <c r="J171" s="5">
        <v>824.71675000000016</v>
      </c>
    </row>
    <row r="172" spans="2:10" x14ac:dyDescent="0.25">
      <c r="B172" s="12" t="s">
        <v>3838</v>
      </c>
      <c r="C172" s="2" t="s">
        <v>11513</v>
      </c>
      <c r="E172" s="2" t="s">
        <v>80</v>
      </c>
      <c r="F172" s="12" t="s">
        <v>11291</v>
      </c>
      <c r="G172" s="2" t="s">
        <v>11706</v>
      </c>
      <c r="H172" s="26" t="s">
        <v>7154</v>
      </c>
      <c r="J172" s="5">
        <v>214.30642000000006</v>
      </c>
    </row>
    <row r="173" spans="2:10" x14ac:dyDescent="0.25">
      <c r="B173" s="12" t="s">
        <v>3838</v>
      </c>
      <c r="C173" s="2" t="s">
        <v>11513</v>
      </c>
      <c r="E173" s="2" t="s">
        <v>80</v>
      </c>
      <c r="F173" s="12" t="s">
        <v>11169</v>
      </c>
      <c r="G173" s="2" t="s">
        <v>11707</v>
      </c>
      <c r="H173" s="26" t="s">
        <v>7170</v>
      </c>
      <c r="J173" s="5">
        <v>4498.0763760000009</v>
      </c>
    </row>
    <row r="174" spans="2:10" x14ac:dyDescent="0.25">
      <c r="B174" s="12" t="s">
        <v>3838</v>
      </c>
      <c r="C174" s="2" t="s">
        <v>11513</v>
      </c>
      <c r="E174" s="2" t="s">
        <v>80</v>
      </c>
      <c r="F174" s="12" t="s">
        <v>11223</v>
      </c>
      <c r="G174" s="2" t="s">
        <v>11708</v>
      </c>
      <c r="H174" s="26" t="s">
        <v>7175</v>
      </c>
      <c r="J174" s="5">
        <v>2337.5754800000004</v>
      </c>
    </row>
    <row r="175" spans="2:10" x14ac:dyDescent="0.25">
      <c r="B175" s="12" t="s">
        <v>3838</v>
      </c>
      <c r="C175" s="2" t="s">
        <v>11513</v>
      </c>
      <c r="E175" s="2" t="s">
        <v>80</v>
      </c>
      <c r="F175" s="12" t="s">
        <v>11170</v>
      </c>
      <c r="G175" s="2" t="s">
        <v>11709</v>
      </c>
      <c r="H175" s="26" t="s">
        <v>5425</v>
      </c>
      <c r="J175" s="5">
        <v>4920.425056</v>
      </c>
    </row>
    <row r="176" spans="2:10" x14ac:dyDescent="0.25">
      <c r="B176" s="12" t="s">
        <v>3838</v>
      </c>
      <c r="C176" s="2" t="s">
        <v>11513</v>
      </c>
      <c r="E176" s="2" t="s">
        <v>80</v>
      </c>
      <c r="F176" s="12" t="s">
        <v>11292</v>
      </c>
      <c r="G176" s="2" t="s">
        <v>11710</v>
      </c>
      <c r="H176" s="26" t="s">
        <v>5474</v>
      </c>
      <c r="J176" s="5">
        <v>171.269475</v>
      </c>
    </row>
    <row r="177" spans="2:10" x14ac:dyDescent="0.25">
      <c r="B177" s="12" t="s">
        <v>3838</v>
      </c>
      <c r="C177" s="2" t="s">
        <v>11513</v>
      </c>
      <c r="E177" s="2" t="s">
        <v>80</v>
      </c>
      <c r="F177" s="12" t="s">
        <v>11293</v>
      </c>
      <c r="G177" s="2" t="s">
        <v>11711</v>
      </c>
      <c r="H177" s="26" t="s">
        <v>5496</v>
      </c>
      <c r="J177" s="5">
        <v>157.76474300000001</v>
      </c>
    </row>
    <row r="178" spans="2:10" x14ac:dyDescent="0.25">
      <c r="B178" s="12" t="s">
        <v>3838</v>
      </c>
      <c r="C178" s="2" t="s">
        <v>11513</v>
      </c>
      <c r="E178" s="2" t="s">
        <v>80</v>
      </c>
      <c r="F178" s="12" t="s">
        <v>11224</v>
      </c>
      <c r="G178" s="2" t="s">
        <v>11712</v>
      </c>
      <c r="H178" s="26" t="s">
        <v>3955</v>
      </c>
      <c r="J178" s="5">
        <v>4671.0224079999998</v>
      </c>
    </row>
    <row r="179" spans="2:10" x14ac:dyDescent="0.25">
      <c r="B179" s="12" t="s">
        <v>3838</v>
      </c>
      <c r="C179" s="2" t="s">
        <v>11513</v>
      </c>
      <c r="E179" s="2" t="s">
        <v>80</v>
      </c>
      <c r="F179" s="12" t="s">
        <v>11171</v>
      </c>
      <c r="G179" s="2" t="s">
        <v>11713</v>
      </c>
      <c r="H179" s="26" t="s">
        <v>3975</v>
      </c>
      <c r="J179" s="5">
        <v>1565.4875000000002</v>
      </c>
    </row>
    <row r="180" spans="2:10" x14ac:dyDescent="0.25">
      <c r="B180" s="12" t="s">
        <v>3838</v>
      </c>
      <c r="C180" s="2" t="s">
        <v>11513</v>
      </c>
      <c r="E180" s="2" t="s">
        <v>80</v>
      </c>
      <c r="F180" s="12" t="s">
        <v>11225</v>
      </c>
      <c r="G180" s="2" t="s">
        <v>11714</v>
      </c>
      <c r="H180" s="26" t="s">
        <v>3994</v>
      </c>
      <c r="J180" s="5">
        <v>1580.5682000000002</v>
      </c>
    </row>
    <row r="181" spans="2:10" x14ac:dyDescent="0.25">
      <c r="B181" s="12" t="s">
        <v>3838</v>
      </c>
      <c r="C181" s="2" t="s">
        <v>11513</v>
      </c>
      <c r="E181" s="2" t="s">
        <v>80</v>
      </c>
      <c r="F181" s="12" t="s">
        <v>11226</v>
      </c>
      <c r="G181" s="2" t="s">
        <v>11715</v>
      </c>
      <c r="H181" s="26" t="s">
        <v>4002</v>
      </c>
      <c r="J181" s="5">
        <v>2565.5903600000001</v>
      </c>
    </row>
    <row r="182" spans="2:10" x14ac:dyDescent="0.25">
      <c r="B182" s="12" t="s">
        <v>3838</v>
      </c>
      <c r="C182" s="2" t="s">
        <v>11513</v>
      </c>
      <c r="E182" s="2" t="s">
        <v>80</v>
      </c>
      <c r="F182" s="12" t="s">
        <v>11227</v>
      </c>
      <c r="G182" s="2" t="s">
        <v>11716</v>
      </c>
      <c r="H182" s="26" t="s">
        <v>4028</v>
      </c>
      <c r="J182" s="5">
        <v>2817.5722990000004</v>
      </c>
    </row>
    <row r="183" spans="2:10" x14ac:dyDescent="0.25">
      <c r="B183" s="12" t="s">
        <v>3838</v>
      </c>
      <c r="C183" s="2" t="s">
        <v>11513</v>
      </c>
      <c r="E183" s="2" t="s">
        <v>80</v>
      </c>
      <c r="F183" s="12" t="s">
        <v>11294</v>
      </c>
      <c r="G183" s="2" t="s">
        <v>11717</v>
      </c>
      <c r="H183" s="26" t="s">
        <v>5992</v>
      </c>
      <c r="J183" s="5">
        <v>195.70775700000002</v>
      </c>
    </row>
    <row r="184" spans="2:10" x14ac:dyDescent="0.25">
      <c r="B184" s="12" t="s">
        <v>3838</v>
      </c>
      <c r="C184" s="2" t="s">
        <v>11513</v>
      </c>
      <c r="E184" s="2" t="s">
        <v>80</v>
      </c>
      <c r="F184" s="12" t="s">
        <v>11228</v>
      </c>
      <c r="G184" s="2" t="s">
        <v>11718</v>
      </c>
      <c r="H184" s="26" t="s">
        <v>5997</v>
      </c>
      <c r="J184" s="5">
        <v>326.40000000000003</v>
      </c>
    </row>
    <row r="185" spans="2:10" x14ac:dyDescent="0.25">
      <c r="B185" s="12" t="s">
        <v>3838</v>
      </c>
      <c r="C185" s="2" t="s">
        <v>11513</v>
      </c>
      <c r="E185" s="2" t="s">
        <v>80</v>
      </c>
      <c r="F185" s="12" t="s">
        <v>11295</v>
      </c>
      <c r="G185" s="2" t="s">
        <v>11719</v>
      </c>
      <c r="H185" s="26" t="s">
        <v>6579</v>
      </c>
      <c r="J185" s="5">
        <v>382.21050700000006</v>
      </c>
    </row>
    <row r="186" spans="2:10" x14ac:dyDescent="0.25">
      <c r="B186" s="12" t="s">
        <v>3838</v>
      </c>
      <c r="C186" s="2" t="s">
        <v>11513</v>
      </c>
      <c r="E186" s="2" t="s">
        <v>80</v>
      </c>
      <c r="F186" s="12" t="s">
        <v>11172</v>
      </c>
      <c r="G186" s="2" t="s">
        <v>11720</v>
      </c>
      <c r="H186" s="26" t="s">
        <v>6599</v>
      </c>
      <c r="J186" s="5">
        <v>3832.8435280000003</v>
      </c>
    </row>
    <row r="187" spans="2:10" x14ac:dyDescent="0.25">
      <c r="B187" s="12" t="s">
        <v>3838</v>
      </c>
      <c r="C187" s="2" t="s">
        <v>11513</v>
      </c>
      <c r="E187" s="2" t="s">
        <v>80</v>
      </c>
      <c r="F187" s="12" t="s">
        <v>11173</v>
      </c>
      <c r="G187" s="2" t="s">
        <v>11721</v>
      </c>
      <c r="H187" s="26" t="s">
        <v>6879</v>
      </c>
      <c r="J187" s="5">
        <v>1136.8381440000001</v>
      </c>
    </row>
    <row r="188" spans="2:10" x14ac:dyDescent="0.25">
      <c r="B188" s="12" t="s">
        <v>3838</v>
      </c>
      <c r="C188" s="2" t="s">
        <v>11513</v>
      </c>
      <c r="E188" s="2" t="s">
        <v>80</v>
      </c>
      <c r="F188" s="12" t="s">
        <v>11229</v>
      </c>
      <c r="G188" s="2" t="s">
        <v>11722</v>
      </c>
      <c r="H188" s="26" t="s">
        <v>10932</v>
      </c>
      <c r="J188" s="5">
        <v>117.9783</v>
      </c>
    </row>
    <row r="189" spans="2:10" x14ac:dyDescent="0.25">
      <c r="B189" s="12" t="s">
        <v>3838</v>
      </c>
      <c r="C189" s="2" t="s">
        <v>11513</v>
      </c>
      <c r="E189" s="2" t="s">
        <v>80</v>
      </c>
      <c r="F189" s="12" t="s">
        <v>11230</v>
      </c>
      <c r="G189" s="2" t="s">
        <v>11723</v>
      </c>
      <c r="H189" s="26" t="s">
        <v>10943</v>
      </c>
      <c r="J189" s="5">
        <v>415.03162500000008</v>
      </c>
    </row>
    <row r="190" spans="2:10" x14ac:dyDescent="0.25">
      <c r="B190" s="12" t="s">
        <v>3838</v>
      </c>
      <c r="C190" s="2" t="s">
        <v>11513</v>
      </c>
      <c r="E190" s="2" t="s">
        <v>80</v>
      </c>
      <c r="F190" s="12" t="s">
        <v>11174</v>
      </c>
      <c r="G190" s="2" t="s">
        <v>11724</v>
      </c>
      <c r="H190" s="26" t="s">
        <v>10968</v>
      </c>
      <c r="J190" s="5">
        <v>356.23032500000005</v>
      </c>
    </row>
    <row r="191" spans="2:10" x14ac:dyDescent="0.25">
      <c r="B191" s="12" t="s">
        <v>3838</v>
      </c>
      <c r="C191" s="2" t="s">
        <v>11513</v>
      </c>
      <c r="E191" s="2" t="s">
        <v>80</v>
      </c>
      <c r="F191" s="12" t="s">
        <v>11175</v>
      </c>
      <c r="G191" s="2" t="s">
        <v>11725</v>
      </c>
      <c r="H191" s="26" t="s">
        <v>10983</v>
      </c>
      <c r="J191" s="5">
        <v>1326.3724020000002</v>
      </c>
    </row>
    <row r="192" spans="2:10" x14ac:dyDescent="0.25">
      <c r="B192" s="12" t="s">
        <v>3838</v>
      </c>
      <c r="C192" s="2" t="s">
        <v>11513</v>
      </c>
      <c r="E192" s="2" t="s">
        <v>80</v>
      </c>
      <c r="F192" s="12" t="s">
        <v>11176</v>
      </c>
      <c r="G192" s="2" t="s">
        <v>11726</v>
      </c>
      <c r="H192" s="26" t="s">
        <v>7195</v>
      </c>
      <c r="J192" s="5">
        <v>3734.7321760000004</v>
      </c>
    </row>
    <row r="193" spans="2:10" x14ac:dyDescent="0.25">
      <c r="B193" s="12" t="s">
        <v>3838</v>
      </c>
      <c r="C193" s="2" t="s">
        <v>11513</v>
      </c>
      <c r="E193" s="2" t="s">
        <v>80</v>
      </c>
      <c r="F193" s="12" t="s">
        <v>11231</v>
      </c>
      <c r="G193" s="2" t="s">
        <v>11727</v>
      </c>
      <c r="H193" s="26" t="s">
        <v>7502</v>
      </c>
      <c r="J193" s="5">
        <v>5211.5167359999996</v>
      </c>
    </row>
    <row r="194" spans="2:10" x14ac:dyDescent="0.25">
      <c r="B194" s="12" t="s">
        <v>3838</v>
      </c>
      <c r="C194" s="2" t="s">
        <v>11513</v>
      </c>
      <c r="E194" s="2" t="s">
        <v>80</v>
      </c>
      <c r="F194" s="12" t="s">
        <v>11232</v>
      </c>
      <c r="G194" s="2" t="s">
        <v>11728</v>
      </c>
      <c r="H194" s="26" t="s">
        <v>7520</v>
      </c>
      <c r="J194" s="5">
        <v>666.28100000000006</v>
      </c>
    </row>
    <row r="195" spans="2:10" x14ac:dyDescent="0.25">
      <c r="B195" s="12" t="s">
        <v>3838</v>
      </c>
      <c r="C195" s="2" t="s">
        <v>11513</v>
      </c>
      <c r="E195" s="2" t="s">
        <v>80</v>
      </c>
      <c r="F195" s="12" t="s">
        <v>11177</v>
      </c>
      <c r="G195" s="2" t="s">
        <v>11729</v>
      </c>
      <c r="H195" s="26" t="s">
        <v>8290</v>
      </c>
      <c r="J195" s="5">
        <v>1279.54512</v>
      </c>
    </row>
    <row r="196" spans="2:10" x14ac:dyDescent="0.25">
      <c r="B196" s="12" t="s">
        <v>3838</v>
      </c>
      <c r="C196" s="2" t="s">
        <v>11513</v>
      </c>
      <c r="E196" s="2" t="s">
        <v>80</v>
      </c>
      <c r="F196" s="12" t="s">
        <v>11296</v>
      </c>
      <c r="G196" s="2" t="s">
        <v>11730</v>
      </c>
      <c r="H196" s="26" t="s">
        <v>8534</v>
      </c>
      <c r="J196" s="5">
        <v>326.34645</v>
      </c>
    </row>
    <row r="197" spans="2:10" x14ac:dyDescent="0.25">
      <c r="B197" s="12" t="s">
        <v>3838</v>
      </c>
      <c r="C197" s="2" t="s">
        <v>11513</v>
      </c>
      <c r="E197" s="2" t="s">
        <v>80</v>
      </c>
      <c r="F197" s="12" t="s">
        <v>11178</v>
      </c>
      <c r="G197" s="2" t="s">
        <v>11731</v>
      </c>
      <c r="H197" s="26" t="s">
        <v>4704</v>
      </c>
      <c r="J197" s="5">
        <v>5695.4882400000006</v>
      </c>
    </row>
    <row r="198" spans="2:10" x14ac:dyDescent="0.25">
      <c r="B198" s="12" t="s">
        <v>3838</v>
      </c>
      <c r="C198" s="2" t="s">
        <v>11513</v>
      </c>
      <c r="E198" s="2" t="s">
        <v>80</v>
      </c>
      <c r="F198" s="12" t="s">
        <v>11179</v>
      </c>
      <c r="G198" s="2" t="s">
        <v>11732</v>
      </c>
      <c r="H198" s="26" t="s">
        <v>11520</v>
      </c>
      <c r="J198" s="5">
        <v>2013.9040480000003</v>
      </c>
    </row>
    <row r="199" spans="2:10" x14ac:dyDescent="0.25">
      <c r="B199" s="12" t="s">
        <v>3838</v>
      </c>
      <c r="C199" s="2" t="s">
        <v>11513</v>
      </c>
      <c r="E199" s="2" t="s">
        <v>80</v>
      </c>
      <c r="F199" s="12" t="s">
        <v>11233</v>
      </c>
      <c r="G199" s="2" t="s">
        <v>11733</v>
      </c>
      <c r="H199" s="26" t="s">
        <v>5326</v>
      </c>
      <c r="J199" s="5">
        <v>411.40455600000007</v>
      </c>
    </row>
    <row r="200" spans="2:10" x14ac:dyDescent="0.25">
      <c r="B200" s="12" t="s">
        <v>3838</v>
      </c>
      <c r="C200" s="2" t="s">
        <v>11513</v>
      </c>
      <c r="E200" s="2" t="s">
        <v>80</v>
      </c>
      <c r="F200" s="12" t="s">
        <v>11234</v>
      </c>
      <c r="G200" s="2" t="s">
        <v>11734</v>
      </c>
      <c r="H200" s="26" t="s">
        <v>7352</v>
      </c>
      <c r="J200" s="5">
        <v>3006.60232</v>
      </c>
    </row>
    <row r="201" spans="2:10" x14ac:dyDescent="0.25">
      <c r="B201" s="12" t="s">
        <v>3838</v>
      </c>
      <c r="C201" s="2" t="s">
        <v>11513</v>
      </c>
      <c r="E201" s="2" t="s">
        <v>80</v>
      </c>
      <c r="F201" s="12" t="s">
        <v>11180</v>
      </c>
      <c r="G201" s="2" t="s">
        <v>11735</v>
      </c>
      <c r="H201" s="26" t="s">
        <v>7355</v>
      </c>
      <c r="J201" s="5">
        <v>952.66096000000016</v>
      </c>
    </row>
    <row r="202" spans="2:10" x14ac:dyDescent="0.25">
      <c r="B202" s="12" t="s">
        <v>3838</v>
      </c>
      <c r="C202" s="2" t="s">
        <v>11513</v>
      </c>
      <c r="E202" s="2" t="s">
        <v>80</v>
      </c>
      <c r="F202" s="12" t="s">
        <v>11235</v>
      </c>
      <c r="G202" s="2" t="s">
        <v>11736</v>
      </c>
      <c r="H202" s="26" t="s">
        <v>7369</v>
      </c>
      <c r="J202" s="5">
        <v>2655.1892000000003</v>
      </c>
    </row>
    <row r="203" spans="2:10" x14ac:dyDescent="0.25">
      <c r="B203" s="12" t="s">
        <v>3838</v>
      </c>
      <c r="C203" s="2" t="s">
        <v>11513</v>
      </c>
      <c r="E203" s="2" t="s">
        <v>80</v>
      </c>
      <c r="F203" s="12" t="s">
        <v>11181</v>
      </c>
      <c r="G203" s="2" t="s">
        <v>11737</v>
      </c>
      <c r="H203" s="26" t="s">
        <v>7383</v>
      </c>
      <c r="J203" s="5">
        <v>1166.6077450000003</v>
      </c>
    </row>
    <row r="204" spans="2:10" x14ac:dyDescent="0.25">
      <c r="B204" s="12" t="s">
        <v>3838</v>
      </c>
      <c r="C204" s="2" t="s">
        <v>11513</v>
      </c>
      <c r="E204" s="2" t="s">
        <v>80</v>
      </c>
      <c r="F204" s="12" t="s">
        <v>11297</v>
      </c>
      <c r="G204" s="2" t="s">
        <v>11738</v>
      </c>
      <c r="H204" s="26" t="s">
        <v>7396</v>
      </c>
      <c r="J204" s="5">
        <v>341.23216000000002</v>
      </c>
    </row>
    <row r="205" spans="2:10" x14ac:dyDescent="0.25">
      <c r="B205" s="12" t="s">
        <v>3838</v>
      </c>
      <c r="C205" s="2" t="s">
        <v>11513</v>
      </c>
      <c r="E205" s="2" t="s">
        <v>80</v>
      </c>
      <c r="F205" s="12" t="s">
        <v>11182</v>
      </c>
      <c r="G205" s="2" t="s">
        <v>11739</v>
      </c>
      <c r="H205" s="26" t="s">
        <v>7662</v>
      </c>
      <c r="J205" s="5">
        <v>3116.8412000000003</v>
      </c>
    </row>
    <row r="206" spans="2:10" x14ac:dyDescent="0.25">
      <c r="B206" s="12" t="s">
        <v>3838</v>
      </c>
      <c r="C206" s="2" t="s">
        <v>11513</v>
      </c>
      <c r="E206" s="2" t="s">
        <v>80</v>
      </c>
      <c r="F206" s="12" t="s">
        <v>11236</v>
      </c>
      <c r="G206" s="2" t="s">
        <v>11740</v>
      </c>
      <c r="H206" s="26" t="s">
        <v>7669</v>
      </c>
      <c r="J206" s="5">
        <v>605.71251600000005</v>
      </c>
    </row>
    <row r="207" spans="2:10" x14ac:dyDescent="0.25">
      <c r="B207" s="12" t="s">
        <v>3838</v>
      </c>
      <c r="C207" s="2" t="s">
        <v>11513</v>
      </c>
      <c r="E207" s="2" t="s">
        <v>80</v>
      </c>
      <c r="F207" s="12" t="s">
        <v>11237</v>
      </c>
      <c r="G207" s="2" t="s">
        <v>11741</v>
      </c>
      <c r="H207" s="26" t="s">
        <v>7671</v>
      </c>
      <c r="J207" s="5">
        <v>890.19378000000006</v>
      </c>
    </row>
    <row r="208" spans="2:10" x14ac:dyDescent="0.25">
      <c r="B208" s="12" t="s">
        <v>3838</v>
      </c>
      <c r="C208" s="2" t="s">
        <v>11513</v>
      </c>
      <c r="E208" s="2" t="s">
        <v>80</v>
      </c>
      <c r="F208" s="12" t="s">
        <v>11183</v>
      </c>
      <c r="G208" s="2" t="s">
        <v>11742</v>
      </c>
      <c r="H208" s="26" t="s">
        <v>7266</v>
      </c>
      <c r="J208" s="5">
        <v>878.36109999999996</v>
      </c>
    </row>
    <row r="209" spans="2:10" x14ac:dyDescent="0.25">
      <c r="B209" s="12" t="s">
        <v>3838</v>
      </c>
      <c r="C209" s="2" t="s">
        <v>11513</v>
      </c>
      <c r="E209" s="2" t="s">
        <v>80</v>
      </c>
      <c r="F209" s="12" t="s">
        <v>11184</v>
      </c>
      <c r="G209" s="2" t="s">
        <v>11743</v>
      </c>
      <c r="H209" s="26" t="s">
        <v>7269</v>
      </c>
      <c r="J209" s="5">
        <v>2639.454952</v>
      </c>
    </row>
    <row r="210" spans="2:10" x14ac:dyDescent="0.25">
      <c r="B210" s="12" t="s">
        <v>3838</v>
      </c>
      <c r="C210" s="2" t="s">
        <v>11513</v>
      </c>
      <c r="E210" s="2" t="s">
        <v>80</v>
      </c>
      <c r="F210" s="12" t="s">
        <v>11298</v>
      </c>
      <c r="G210" s="2" t="s">
        <v>11744</v>
      </c>
      <c r="H210" s="26" t="s">
        <v>7273</v>
      </c>
      <c r="J210" s="5">
        <v>93.095825000000019</v>
      </c>
    </row>
    <row r="211" spans="2:10" x14ac:dyDescent="0.25">
      <c r="B211" s="12" t="s">
        <v>3838</v>
      </c>
      <c r="C211" s="2" t="s">
        <v>11513</v>
      </c>
      <c r="E211" s="2" t="s">
        <v>80</v>
      </c>
      <c r="F211" s="12" t="s">
        <v>11185</v>
      </c>
      <c r="G211" s="2" t="s">
        <v>11745</v>
      </c>
      <c r="H211" s="26" t="s">
        <v>11521</v>
      </c>
      <c r="J211" s="5">
        <v>972.78297600000008</v>
      </c>
    </row>
    <row r="212" spans="2:10" x14ac:dyDescent="0.25">
      <c r="B212" s="12" t="s">
        <v>3838</v>
      </c>
      <c r="C212" s="2" t="s">
        <v>11513</v>
      </c>
      <c r="E212" s="2" t="s">
        <v>80</v>
      </c>
      <c r="F212" s="12" t="s">
        <v>11239</v>
      </c>
      <c r="G212" s="2" t="s">
        <v>11746</v>
      </c>
      <c r="H212" s="26" t="s">
        <v>7812</v>
      </c>
      <c r="J212" s="5">
        <v>3957.3579200000004</v>
      </c>
    </row>
    <row r="213" spans="2:10" x14ac:dyDescent="0.25">
      <c r="B213" s="12" t="s">
        <v>3838</v>
      </c>
      <c r="C213" s="2" t="s">
        <v>11513</v>
      </c>
      <c r="E213" s="2" t="s">
        <v>80</v>
      </c>
      <c r="F213" s="12" t="s">
        <v>11299</v>
      </c>
      <c r="G213" s="2" t="s">
        <v>11747</v>
      </c>
      <c r="H213" s="26" t="s">
        <v>8523</v>
      </c>
      <c r="J213" s="5">
        <v>866.05381399999999</v>
      </c>
    </row>
    <row r="214" spans="2:10" x14ac:dyDescent="0.25">
      <c r="B214" s="12" t="s">
        <v>3838</v>
      </c>
      <c r="C214" s="2" t="s">
        <v>11513</v>
      </c>
      <c r="E214" s="2" t="s">
        <v>80</v>
      </c>
      <c r="F214" s="12" t="s">
        <v>11186</v>
      </c>
      <c r="G214" s="2" t="s">
        <v>11748</v>
      </c>
      <c r="H214" s="26" t="s">
        <v>8531</v>
      </c>
      <c r="J214" s="5">
        <v>1437.5696400000004</v>
      </c>
    </row>
    <row r="215" spans="2:10" x14ac:dyDescent="0.25">
      <c r="B215" s="12" t="s">
        <v>3838</v>
      </c>
      <c r="C215" s="2" t="s">
        <v>11513</v>
      </c>
      <c r="E215" s="2" t="s">
        <v>80</v>
      </c>
      <c r="F215" s="12" t="s">
        <v>11300</v>
      </c>
      <c r="G215" s="2" t="s">
        <v>11749</v>
      </c>
      <c r="H215" s="26" t="s">
        <v>8830</v>
      </c>
      <c r="J215" s="5">
        <v>203.527672</v>
      </c>
    </row>
    <row r="216" spans="2:10" x14ac:dyDescent="0.25">
      <c r="B216" s="12" t="s">
        <v>3838</v>
      </c>
      <c r="C216" s="2" t="s">
        <v>11513</v>
      </c>
      <c r="E216" s="2" t="s">
        <v>80</v>
      </c>
      <c r="F216" s="12" t="s">
        <v>11187</v>
      </c>
      <c r="G216" s="2" t="s">
        <v>11750</v>
      </c>
      <c r="H216" s="26" t="s">
        <v>7063</v>
      </c>
      <c r="J216" s="5">
        <v>1400.7558000000001</v>
      </c>
    </row>
    <row r="217" spans="2:10" x14ac:dyDescent="0.25">
      <c r="B217" s="12" t="s">
        <v>3838</v>
      </c>
      <c r="C217" s="2" t="s">
        <v>11513</v>
      </c>
      <c r="E217" s="2" t="s">
        <v>80</v>
      </c>
      <c r="F217" s="12" t="s">
        <v>11240</v>
      </c>
      <c r="G217" s="2" t="s">
        <v>11751</v>
      </c>
      <c r="H217" s="26" t="s">
        <v>7073</v>
      </c>
      <c r="J217" s="5">
        <v>2925.1570200000001</v>
      </c>
    </row>
    <row r="218" spans="2:10" x14ac:dyDescent="0.25">
      <c r="B218" s="12" t="s">
        <v>3838</v>
      </c>
      <c r="C218" s="2" t="s">
        <v>11513</v>
      </c>
      <c r="E218" s="2" t="s">
        <v>80</v>
      </c>
      <c r="F218" s="12" t="s">
        <v>11188</v>
      </c>
      <c r="G218" s="2" t="s">
        <v>11752</v>
      </c>
      <c r="H218" s="26" t="s">
        <v>7101</v>
      </c>
      <c r="J218" s="5">
        <v>3530.906324</v>
      </c>
    </row>
    <row r="219" spans="2:10" x14ac:dyDescent="0.25">
      <c r="B219" s="12" t="s">
        <v>3838</v>
      </c>
      <c r="C219" s="2" t="s">
        <v>11513</v>
      </c>
      <c r="E219" s="2" t="s">
        <v>80</v>
      </c>
      <c r="F219" s="12" t="s">
        <v>11301</v>
      </c>
      <c r="G219" s="2" t="s">
        <v>11753</v>
      </c>
      <c r="H219" s="26" t="s">
        <v>7109</v>
      </c>
      <c r="J219" s="5">
        <v>95.554959999999994</v>
      </c>
    </row>
    <row r="220" spans="2:10" x14ac:dyDescent="0.25">
      <c r="B220" s="12" t="s">
        <v>3838</v>
      </c>
      <c r="C220" s="2" t="s">
        <v>11513</v>
      </c>
      <c r="E220" s="2" t="s">
        <v>80</v>
      </c>
      <c r="F220" s="12" t="s">
        <v>11302</v>
      </c>
      <c r="G220" s="2" t="s">
        <v>11754</v>
      </c>
      <c r="H220" s="26" t="s">
        <v>5920</v>
      </c>
      <c r="J220" s="5">
        <v>59.798860000000012</v>
      </c>
    </row>
    <row r="221" spans="2:10" x14ac:dyDescent="0.25">
      <c r="B221" s="12" t="s">
        <v>3838</v>
      </c>
      <c r="C221" s="2" t="s">
        <v>11513</v>
      </c>
      <c r="E221" s="2" t="s">
        <v>80</v>
      </c>
      <c r="F221" s="12" t="s">
        <v>11242</v>
      </c>
      <c r="G221" s="2" t="s">
        <v>11755</v>
      </c>
      <c r="H221" s="26" t="s">
        <v>5951</v>
      </c>
      <c r="J221" s="5">
        <v>3012.9188060000001</v>
      </c>
    </row>
    <row r="222" spans="2:10" x14ac:dyDescent="0.25">
      <c r="B222" s="12" t="s">
        <v>3838</v>
      </c>
      <c r="C222" s="2" t="s">
        <v>11513</v>
      </c>
      <c r="E222" s="2" t="s">
        <v>80</v>
      </c>
      <c r="F222" s="12" t="s">
        <v>11189</v>
      </c>
      <c r="G222" s="2" t="s">
        <v>11756</v>
      </c>
      <c r="H222" s="26" t="s">
        <v>6171</v>
      </c>
      <c r="J222" s="5">
        <v>459.88672000000008</v>
      </c>
    </row>
    <row r="223" spans="2:10" x14ac:dyDescent="0.25">
      <c r="B223" s="12" t="s">
        <v>3838</v>
      </c>
      <c r="C223" s="2" t="s">
        <v>11513</v>
      </c>
      <c r="E223" s="2" t="s">
        <v>80</v>
      </c>
      <c r="F223" s="12" t="s">
        <v>11243</v>
      </c>
      <c r="G223" s="2" t="s">
        <v>11757</v>
      </c>
      <c r="H223" s="26" t="s">
        <v>6184</v>
      </c>
      <c r="J223" s="5">
        <v>2516.89777</v>
      </c>
    </row>
    <row r="224" spans="2:10" x14ac:dyDescent="0.25">
      <c r="B224" s="12" t="s">
        <v>3838</v>
      </c>
      <c r="C224" s="2" t="s">
        <v>11513</v>
      </c>
      <c r="E224" s="2" t="s">
        <v>80</v>
      </c>
      <c r="F224" s="12" t="s">
        <v>11244</v>
      </c>
      <c r="G224" s="2" t="s">
        <v>11758</v>
      </c>
      <c r="H224" s="26" t="s">
        <v>6235</v>
      </c>
      <c r="J224" s="5">
        <v>1911.6715390000002</v>
      </c>
    </row>
    <row r="225" spans="2:10" x14ac:dyDescent="0.25">
      <c r="B225" s="12" t="s">
        <v>3838</v>
      </c>
      <c r="C225" s="2" t="s">
        <v>11513</v>
      </c>
      <c r="E225" s="2" t="s">
        <v>80</v>
      </c>
      <c r="F225" s="12" t="s">
        <v>11245</v>
      </c>
      <c r="G225" s="2" t="s">
        <v>11759</v>
      </c>
      <c r="H225" s="26" t="s">
        <v>6852</v>
      </c>
      <c r="J225" s="5">
        <v>412.34180000000003</v>
      </c>
    </row>
    <row r="226" spans="2:10" x14ac:dyDescent="0.25">
      <c r="B226" s="12" t="s">
        <v>3838</v>
      </c>
      <c r="C226" s="2" t="s">
        <v>11513</v>
      </c>
      <c r="E226" s="2" t="s">
        <v>80</v>
      </c>
      <c r="F226" s="12" t="s">
        <v>11190</v>
      </c>
      <c r="G226" s="2" t="s">
        <v>11760</v>
      </c>
      <c r="H226" s="26" t="s">
        <v>4502</v>
      </c>
      <c r="J226" s="5">
        <v>4475.6192400000009</v>
      </c>
    </row>
    <row r="227" spans="2:10" x14ac:dyDescent="0.25">
      <c r="B227" s="12" t="s">
        <v>3838</v>
      </c>
      <c r="C227" s="2" t="s">
        <v>11513</v>
      </c>
      <c r="E227" s="2" t="s">
        <v>80</v>
      </c>
      <c r="F227" s="12" t="s">
        <v>11246</v>
      </c>
      <c r="G227" s="2" t="s">
        <v>11761</v>
      </c>
      <c r="H227" s="26" t="s">
        <v>4512</v>
      </c>
      <c r="J227" s="5">
        <v>617.66100000000006</v>
      </c>
    </row>
    <row r="228" spans="2:10" x14ac:dyDescent="0.25">
      <c r="B228" s="12" t="s">
        <v>3838</v>
      </c>
      <c r="C228" s="2" t="s">
        <v>11513</v>
      </c>
      <c r="E228" s="2" t="s">
        <v>80</v>
      </c>
      <c r="F228" s="12" t="s">
        <v>11303</v>
      </c>
      <c r="G228" s="2" t="s">
        <v>11762</v>
      </c>
      <c r="H228" s="26" t="s">
        <v>8000</v>
      </c>
      <c r="J228" s="5">
        <v>518.37345200000004</v>
      </c>
    </row>
    <row r="229" spans="2:10" x14ac:dyDescent="0.25">
      <c r="B229" s="12" t="s">
        <v>3838</v>
      </c>
      <c r="C229" s="2" t="s">
        <v>11513</v>
      </c>
      <c r="E229" s="2" t="s">
        <v>80</v>
      </c>
      <c r="F229" s="12" t="s">
        <v>11191</v>
      </c>
      <c r="G229" s="2" t="s">
        <v>11763</v>
      </c>
      <c r="H229" s="26" t="s">
        <v>8028</v>
      </c>
      <c r="J229" s="5">
        <v>2066.6051360000001</v>
      </c>
    </row>
    <row r="230" spans="2:10" x14ac:dyDescent="0.25">
      <c r="B230" s="12" t="s">
        <v>3838</v>
      </c>
      <c r="C230" s="2" t="s">
        <v>11513</v>
      </c>
      <c r="E230" s="2" t="s">
        <v>80</v>
      </c>
      <c r="F230" s="12" t="s">
        <v>11192</v>
      </c>
      <c r="G230" s="2" t="s">
        <v>11764</v>
      </c>
      <c r="H230" s="26" t="s">
        <v>8042</v>
      </c>
      <c r="J230" s="5">
        <v>2257.9332000000004</v>
      </c>
    </row>
    <row r="231" spans="2:10" x14ac:dyDescent="0.25">
      <c r="B231" s="12" t="s">
        <v>3838</v>
      </c>
      <c r="C231" s="2" t="s">
        <v>11513</v>
      </c>
      <c r="E231" s="2" t="s">
        <v>80</v>
      </c>
      <c r="F231" s="12" t="s">
        <v>11247</v>
      </c>
      <c r="G231" s="2" t="s">
        <v>11765</v>
      </c>
      <c r="H231" s="26" t="s">
        <v>8319</v>
      </c>
      <c r="J231" s="5">
        <v>3115.8052880000005</v>
      </c>
    </row>
    <row r="232" spans="2:10" x14ac:dyDescent="0.25">
      <c r="B232" s="12" t="s">
        <v>3838</v>
      </c>
      <c r="C232" s="2" t="s">
        <v>11513</v>
      </c>
      <c r="E232" s="2" t="s">
        <v>80</v>
      </c>
      <c r="F232" s="12" t="s">
        <v>11766</v>
      </c>
      <c r="G232" s="2" t="s">
        <v>11767</v>
      </c>
      <c r="H232" s="26" t="s">
        <v>8881</v>
      </c>
      <c r="J232" s="5">
        <v>1794</v>
      </c>
    </row>
    <row r="233" spans="2:10" x14ac:dyDescent="0.25">
      <c r="B233" s="12" t="s">
        <v>3838</v>
      </c>
      <c r="C233" s="2" t="s">
        <v>11513</v>
      </c>
      <c r="E233" s="2" t="s">
        <v>80</v>
      </c>
      <c r="F233" s="12" t="s">
        <v>11304</v>
      </c>
      <c r="G233" s="2" t="s">
        <v>11768</v>
      </c>
      <c r="H233" s="26" t="s">
        <v>11305</v>
      </c>
      <c r="J233" s="5">
        <v>2094</v>
      </c>
    </row>
    <row r="234" spans="2:10" x14ac:dyDescent="0.25">
      <c r="B234" s="12" t="s">
        <v>3838</v>
      </c>
      <c r="C234" s="2" t="s">
        <v>11513</v>
      </c>
      <c r="E234" s="2" t="s">
        <v>80</v>
      </c>
      <c r="F234" s="12" t="s">
        <v>11306</v>
      </c>
      <c r="G234" s="2" t="s">
        <v>11769</v>
      </c>
      <c r="H234" s="26" t="s">
        <v>11307</v>
      </c>
      <c r="J234" s="5">
        <v>2022</v>
      </c>
    </row>
    <row r="235" spans="2:10" x14ac:dyDescent="0.25">
      <c r="B235" s="12" t="s">
        <v>3838</v>
      </c>
      <c r="C235" s="2" t="s">
        <v>11513</v>
      </c>
      <c r="E235" s="2" t="s">
        <v>80</v>
      </c>
      <c r="F235" s="12" t="s">
        <v>11248</v>
      </c>
      <c r="G235" s="2" t="s">
        <v>11770</v>
      </c>
      <c r="H235" s="26" t="s">
        <v>11522</v>
      </c>
      <c r="J235" s="5">
        <v>1596</v>
      </c>
    </row>
    <row r="236" spans="2:10" x14ac:dyDescent="0.25">
      <c r="B236" s="12" t="s">
        <v>3838</v>
      </c>
      <c r="C236" s="2" t="s">
        <v>11513</v>
      </c>
      <c r="E236" s="2" t="s">
        <v>80</v>
      </c>
      <c r="F236" s="12" t="s">
        <v>11308</v>
      </c>
      <c r="G236" s="2" t="s">
        <v>11771</v>
      </c>
      <c r="H236" s="26" t="s">
        <v>11309</v>
      </c>
      <c r="J236" s="5">
        <v>1380</v>
      </c>
    </row>
    <row r="237" spans="2:10" x14ac:dyDescent="0.25">
      <c r="B237" s="12" t="s">
        <v>3838</v>
      </c>
      <c r="C237" s="2" t="s">
        <v>11513</v>
      </c>
      <c r="E237" s="2" t="s">
        <v>80</v>
      </c>
      <c r="F237" s="12" t="s">
        <v>11310</v>
      </c>
      <c r="G237" s="2" t="s">
        <v>11772</v>
      </c>
      <c r="H237" s="26" t="s">
        <v>11311</v>
      </c>
      <c r="J237" s="5">
        <v>1206</v>
      </c>
    </row>
    <row r="238" spans="2:10" x14ac:dyDescent="0.25">
      <c r="B238" s="12" t="s">
        <v>3838</v>
      </c>
      <c r="C238" s="2" t="s">
        <v>11513</v>
      </c>
      <c r="E238" s="2" t="s">
        <v>80</v>
      </c>
      <c r="F238" s="12" t="s">
        <v>11249</v>
      </c>
      <c r="G238" s="2" t="s">
        <v>11773</v>
      </c>
      <c r="H238" s="26" t="s">
        <v>11523</v>
      </c>
      <c r="J238" s="5">
        <v>102</v>
      </c>
    </row>
    <row r="239" spans="2:10" x14ac:dyDescent="0.25">
      <c r="B239" s="12" t="s">
        <v>3838</v>
      </c>
      <c r="C239" s="2" t="s">
        <v>11513</v>
      </c>
      <c r="E239" s="2" t="s">
        <v>80</v>
      </c>
      <c r="F239" s="12" t="s">
        <v>11312</v>
      </c>
      <c r="G239" s="2" t="s">
        <v>11774</v>
      </c>
      <c r="H239" s="26" t="s">
        <v>9720</v>
      </c>
      <c r="J239" s="5">
        <v>378</v>
      </c>
    </row>
    <row r="240" spans="2:10" x14ac:dyDescent="0.25">
      <c r="B240" s="12" t="s">
        <v>3838</v>
      </c>
      <c r="C240" s="2" t="s">
        <v>11513</v>
      </c>
      <c r="E240" s="2" t="s">
        <v>80</v>
      </c>
      <c r="F240" s="12" t="s">
        <v>11313</v>
      </c>
      <c r="G240" s="2" t="s">
        <v>11775</v>
      </c>
      <c r="H240" s="26" t="s">
        <v>9746</v>
      </c>
      <c r="J240" s="5">
        <v>378</v>
      </c>
    </row>
    <row r="241" spans="2:10" x14ac:dyDescent="0.25">
      <c r="B241" s="12" t="s">
        <v>3838</v>
      </c>
      <c r="C241" s="2" t="s">
        <v>11513</v>
      </c>
      <c r="E241" s="2" t="s">
        <v>80</v>
      </c>
      <c r="F241" s="12" t="s">
        <v>11314</v>
      </c>
      <c r="G241" s="2" t="s">
        <v>11776</v>
      </c>
      <c r="H241" s="26" t="s">
        <v>9742</v>
      </c>
      <c r="J241" s="5">
        <v>294</v>
      </c>
    </row>
    <row r="242" spans="2:10" x14ac:dyDescent="0.25">
      <c r="B242" s="12" t="s">
        <v>3838</v>
      </c>
      <c r="C242" s="2" t="s">
        <v>11513</v>
      </c>
      <c r="E242" s="2" t="s">
        <v>80</v>
      </c>
      <c r="F242" s="12" t="s">
        <v>11315</v>
      </c>
      <c r="G242" s="2" t="s">
        <v>11777</v>
      </c>
      <c r="H242" s="26" t="s">
        <v>11316</v>
      </c>
      <c r="J242" s="5">
        <v>222</v>
      </c>
    </row>
    <row r="243" spans="2:10" x14ac:dyDescent="0.25">
      <c r="B243" s="12" t="s">
        <v>3838</v>
      </c>
      <c r="C243" s="2" t="s">
        <v>11513</v>
      </c>
      <c r="E243" s="2" t="s">
        <v>80</v>
      </c>
      <c r="F243" s="12" t="s">
        <v>11317</v>
      </c>
      <c r="G243" s="2" t="s">
        <v>11778</v>
      </c>
      <c r="H243" s="26" t="s">
        <v>9767</v>
      </c>
      <c r="J243" s="5">
        <v>90</v>
      </c>
    </row>
    <row r="244" spans="2:10" x14ac:dyDescent="0.25">
      <c r="B244" s="12" t="s">
        <v>3838</v>
      </c>
      <c r="C244" s="2" t="s">
        <v>11513</v>
      </c>
      <c r="E244" s="2" t="s">
        <v>80</v>
      </c>
      <c r="F244" s="12" t="s">
        <v>11250</v>
      </c>
      <c r="G244" s="2" t="s">
        <v>11779</v>
      </c>
      <c r="H244" s="26" t="s">
        <v>11524</v>
      </c>
      <c r="J244" s="5">
        <v>42</v>
      </c>
    </row>
    <row r="245" spans="2:10" x14ac:dyDescent="0.25">
      <c r="B245" s="12" t="s">
        <v>3838</v>
      </c>
      <c r="C245" s="2" t="s">
        <v>11513</v>
      </c>
      <c r="E245" s="2" t="s">
        <v>80</v>
      </c>
      <c r="F245" s="12" t="s">
        <v>11318</v>
      </c>
      <c r="G245" s="2" t="s">
        <v>11780</v>
      </c>
      <c r="H245" s="26" t="s">
        <v>11319</v>
      </c>
      <c r="J245" s="5">
        <v>11550</v>
      </c>
    </row>
    <row r="246" spans="2:10" x14ac:dyDescent="0.25">
      <c r="B246" s="12" t="s">
        <v>3838</v>
      </c>
      <c r="C246" s="2" t="s">
        <v>11513</v>
      </c>
      <c r="E246" s="2" t="s">
        <v>80</v>
      </c>
      <c r="F246" s="12" t="s">
        <v>11320</v>
      </c>
      <c r="G246" s="2" t="s">
        <v>11781</v>
      </c>
      <c r="H246" s="26" t="s">
        <v>11321</v>
      </c>
      <c r="J246" s="5">
        <v>2616</v>
      </c>
    </row>
    <row r="247" spans="2:10" x14ac:dyDescent="0.25">
      <c r="B247" s="12" t="s">
        <v>3838</v>
      </c>
      <c r="C247" s="2" t="s">
        <v>11513</v>
      </c>
      <c r="E247" s="2" t="s">
        <v>80</v>
      </c>
      <c r="F247" s="12" t="s">
        <v>11322</v>
      </c>
      <c r="G247" s="2" t="s">
        <v>11782</v>
      </c>
      <c r="H247" s="26" t="s">
        <v>11323</v>
      </c>
      <c r="J247" s="5">
        <v>2310</v>
      </c>
    </row>
    <row r="248" spans="2:10" x14ac:dyDescent="0.25">
      <c r="B248" s="12" t="s">
        <v>3838</v>
      </c>
      <c r="C248" s="2" t="s">
        <v>11513</v>
      </c>
      <c r="E248" s="2" t="s">
        <v>80</v>
      </c>
      <c r="F248" s="12" t="s">
        <v>11324</v>
      </c>
      <c r="G248" s="2" t="s">
        <v>11783</v>
      </c>
      <c r="H248" s="26" t="s">
        <v>11325</v>
      </c>
      <c r="J248" s="5">
        <v>2214</v>
      </c>
    </row>
    <row r="249" spans="2:10" x14ac:dyDescent="0.25">
      <c r="B249" s="12" t="s">
        <v>3838</v>
      </c>
      <c r="C249" s="2" t="s">
        <v>11513</v>
      </c>
      <c r="E249" s="2" t="s">
        <v>80</v>
      </c>
      <c r="F249" s="12" t="s">
        <v>11326</v>
      </c>
      <c r="G249" s="2" t="s">
        <v>11784</v>
      </c>
      <c r="H249" s="26" t="s">
        <v>11327</v>
      </c>
      <c r="J249" s="5">
        <v>2052</v>
      </c>
    </row>
    <row r="250" spans="2:10" x14ac:dyDescent="0.25">
      <c r="B250" s="12" t="s">
        <v>3838</v>
      </c>
      <c r="C250" s="2" t="s">
        <v>11513</v>
      </c>
      <c r="E250" s="2" t="s">
        <v>80</v>
      </c>
      <c r="F250" s="12" t="s">
        <v>11251</v>
      </c>
      <c r="G250" s="2" t="s">
        <v>11785</v>
      </c>
      <c r="H250" s="26" t="s">
        <v>11525</v>
      </c>
      <c r="J250" s="5">
        <v>1398</v>
      </c>
    </row>
    <row r="251" spans="2:10" x14ac:dyDescent="0.25">
      <c r="B251" s="12" t="s">
        <v>3838</v>
      </c>
      <c r="C251" s="2" t="s">
        <v>11513</v>
      </c>
      <c r="E251" s="2" t="s">
        <v>80</v>
      </c>
      <c r="F251" s="12" t="s">
        <v>11252</v>
      </c>
      <c r="G251" s="2" t="s">
        <v>11786</v>
      </c>
      <c r="H251" s="26" t="s">
        <v>11526</v>
      </c>
      <c r="J251" s="5">
        <v>1302</v>
      </c>
    </row>
    <row r="252" spans="2:10" x14ac:dyDescent="0.25">
      <c r="B252" s="12" t="s">
        <v>3838</v>
      </c>
      <c r="C252" s="2" t="s">
        <v>11513</v>
      </c>
      <c r="E252" s="2" t="s">
        <v>80</v>
      </c>
      <c r="F252" s="12" t="s">
        <v>11253</v>
      </c>
      <c r="G252" s="2" t="s">
        <v>11787</v>
      </c>
      <c r="H252" s="26" t="s">
        <v>11527</v>
      </c>
      <c r="J252" s="5">
        <v>774</v>
      </c>
    </row>
    <row r="253" spans="2:10" x14ac:dyDescent="0.25">
      <c r="B253" s="12" t="s">
        <v>3838</v>
      </c>
      <c r="C253" s="2" t="s">
        <v>11513</v>
      </c>
      <c r="E253" s="2" t="s">
        <v>80</v>
      </c>
      <c r="F253" s="12" t="s">
        <v>11328</v>
      </c>
      <c r="G253" s="2" t="s">
        <v>11788</v>
      </c>
      <c r="H253" s="26" t="s">
        <v>11329</v>
      </c>
      <c r="J253" s="5">
        <v>360</v>
      </c>
    </row>
    <row r="254" spans="2:10" x14ac:dyDescent="0.25">
      <c r="B254" s="12" t="s">
        <v>3838</v>
      </c>
      <c r="C254" s="2" t="s">
        <v>11513</v>
      </c>
      <c r="E254" s="2" t="s">
        <v>80</v>
      </c>
      <c r="F254" s="12" t="s">
        <v>11254</v>
      </c>
      <c r="G254" s="2" t="s">
        <v>11789</v>
      </c>
      <c r="H254" s="26" t="s">
        <v>11528</v>
      </c>
      <c r="J254" s="5">
        <v>12</v>
      </c>
    </row>
    <row r="255" spans="2:10" x14ac:dyDescent="0.25">
      <c r="B255" s="12" t="s">
        <v>3838</v>
      </c>
      <c r="C255" s="2" t="s">
        <v>11513</v>
      </c>
      <c r="E255" s="2" t="s">
        <v>80</v>
      </c>
      <c r="F255" s="12" t="s">
        <v>11330</v>
      </c>
      <c r="G255" s="2" t="s">
        <v>11790</v>
      </c>
      <c r="H255" s="26" t="s">
        <v>11331</v>
      </c>
      <c r="J255" s="5">
        <v>522</v>
      </c>
    </row>
    <row r="256" spans="2:10" x14ac:dyDescent="0.25">
      <c r="B256" s="12" t="s">
        <v>3838</v>
      </c>
      <c r="C256" s="2" t="s">
        <v>11513</v>
      </c>
      <c r="E256" s="2" t="s">
        <v>80</v>
      </c>
      <c r="F256" s="12" t="s">
        <v>11332</v>
      </c>
      <c r="G256" s="2" t="s">
        <v>11791</v>
      </c>
      <c r="H256" s="26" t="s">
        <v>11333</v>
      </c>
      <c r="J256" s="5">
        <v>510</v>
      </c>
    </row>
    <row r="257" spans="2:10" x14ac:dyDescent="0.25">
      <c r="B257" s="12" t="s">
        <v>3838</v>
      </c>
      <c r="C257" s="2" t="s">
        <v>11513</v>
      </c>
      <c r="E257" s="2" t="s">
        <v>80</v>
      </c>
      <c r="F257" s="12" t="s">
        <v>11334</v>
      </c>
      <c r="G257" s="2" t="s">
        <v>11792</v>
      </c>
      <c r="H257" s="26" t="s">
        <v>11335</v>
      </c>
      <c r="J257" s="5">
        <v>348</v>
      </c>
    </row>
    <row r="258" spans="2:10" x14ac:dyDescent="0.25">
      <c r="B258" s="12" t="s">
        <v>3838</v>
      </c>
      <c r="C258" s="2" t="s">
        <v>11513</v>
      </c>
      <c r="E258" s="2" t="s">
        <v>80</v>
      </c>
      <c r="F258" s="12" t="s">
        <v>11336</v>
      </c>
      <c r="G258" s="2" t="s">
        <v>11793</v>
      </c>
      <c r="H258" s="26" t="s">
        <v>11337</v>
      </c>
      <c r="J258" s="5">
        <v>312</v>
      </c>
    </row>
    <row r="259" spans="2:10" x14ac:dyDescent="0.25">
      <c r="B259" s="12" t="s">
        <v>3838</v>
      </c>
      <c r="C259" s="2" t="s">
        <v>11513</v>
      </c>
      <c r="E259" s="2" t="s">
        <v>80</v>
      </c>
      <c r="F259" s="12" t="s">
        <v>11338</v>
      </c>
      <c r="G259" s="2" t="s">
        <v>11794</v>
      </c>
      <c r="H259" s="26" t="s">
        <v>11339</v>
      </c>
      <c r="J259" s="5">
        <v>306</v>
      </c>
    </row>
    <row r="260" spans="2:10" x14ac:dyDescent="0.25">
      <c r="B260" s="12" t="s">
        <v>3838</v>
      </c>
      <c r="C260" s="2" t="s">
        <v>11513</v>
      </c>
      <c r="E260" s="2" t="s">
        <v>80</v>
      </c>
      <c r="F260" s="12" t="s">
        <v>11340</v>
      </c>
      <c r="G260" s="2" t="s">
        <v>11795</v>
      </c>
      <c r="H260" s="26" t="s">
        <v>11341</v>
      </c>
      <c r="J260" s="5">
        <v>276</v>
      </c>
    </row>
    <row r="261" spans="2:10" x14ac:dyDescent="0.25">
      <c r="B261" s="12" t="s">
        <v>3838</v>
      </c>
      <c r="C261" s="2" t="s">
        <v>11513</v>
      </c>
      <c r="E261" s="2" t="s">
        <v>80</v>
      </c>
      <c r="F261" s="12" t="s">
        <v>11342</v>
      </c>
      <c r="G261" s="2" t="s">
        <v>11796</v>
      </c>
      <c r="H261" s="26" t="s">
        <v>11343</v>
      </c>
      <c r="J261" s="5">
        <v>1689.8547486033519</v>
      </c>
    </row>
    <row r="262" spans="2:10" x14ac:dyDescent="0.25">
      <c r="B262" s="12" t="s">
        <v>3838</v>
      </c>
      <c r="C262" s="2" t="s">
        <v>11513</v>
      </c>
      <c r="E262" s="2" t="s">
        <v>80</v>
      </c>
      <c r="F262" s="12" t="s">
        <v>11344</v>
      </c>
      <c r="G262" s="2" t="s">
        <v>11797</v>
      </c>
      <c r="H262" s="26" t="s">
        <v>11345</v>
      </c>
      <c r="J262" s="5">
        <v>1641.1089385474859</v>
      </c>
    </row>
    <row r="263" spans="2:10" x14ac:dyDescent="0.25">
      <c r="B263" s="12" t="s">
        <v>3838</v>
      </c>
      <c r="C263" s="2" t="s">
        <v>11513</v>
      </c>
      <c r="E263" s="2" t="s">
        <v>80</v>
      </c>
      <c r="F263" s="12" t="s">
        <v>11255</v>
      </c>
      <c r="G263" s="2" t="s">
        <v>11798</v>
      </c>
      <c r="H263" s="26" t="s">
        <v>11530</v>
      </c>
      <c r="J263" s="5">
        <v>1511.1201117318435</v>
      </c>
    </row>
    <row r="264" spans="2:10" x14ac:dyDescent="0.25">
      <c r="B264" s="12" t="s">
        <v>3838</v>
      </c>
      <c r="C264" s="2" t="s">
        <v>11513</v>
      </c>
      <c r="E264" s="2" t="s">
        <v>80</v>
      </c>
      <c r="F264" s="12" t="s">
        <v>11346</v>
      </c>
      <c r="G264" s="2" t="s">
        <v>11799</v>
      </c>
      <c r="H264" s="26" t="s">
        <v>11347</v>
      </c>
      <c r="J264" s="5">
        <v>942.41899441340775</v>
      </c>
    </row>
    <row r="265" spans="2:10" x14ac:dyDescent="0.25">
      <c r="B265" s="12" t="s">
        <v>3838</v>
      </c>
      <c r="C265" s="2" t="s">
        <v>11513</v>
      </c>
      <c r="E265" s="2" t="s">
        <v>80</v>
      </c>
      <c r="F265" s="12" t="s">
        <v>11348</v>
      </c>
      <c r="G265" s="2" t="s">
        <v>11800</v>
      </c>
      <c r="H265" s="26" t="s">
        <v>11349</v>
      </c>
      <c r="J265" s="5">
        <v>909.92178770949715</v>
      </c>
    </row>
    <row r="266" spans="2:10" x14ac:dyDescent="0.25">
      <c r="B266" s="12" t="s">
        <v>3838</v>
      </c>
      <c r="C266" s="2" t="s">
        <v>11513</v>
      </c>
      <c r="E266" s="2" t="s">
        <v>80</v>
      </c>
      <c r="F266" s="12" t="s">
        <v>11350</v>
      </c>
      <c r="G266" s="2" t="s">
        <v>11801</v>
      </c>
      <c r="H266" s="26" t="s">
        <v>11351</v>
      </c>
      <c r="J266" s="5">
        <v>796.18156424581002</v>
      </c>
    </row>
    <row r="267" spans="2:10" x14ac:dyDescent="0.25">
      <c r="B267" s="12" t="s">
        <v>3838</v>
      </c>
      <c r="C267" s="2" t="s">
        <v>11513</v>
      </c>
      <c r="E267" s="2" t="s">
        <v>80</v>
      </c>
      <c r="F267" s="12" t="s">
        <v>11352</v>
      </c>
      <c r="G267" s="2" t="s">
        <v>11802</v>
      </c>
      <c r="H267" s="26" t="s">
        <v>11353</v>
      </c>
      <c r="J267" s="5">
        <v>698.68994413407825</v>
      </c>
    </row>
    <row r="268" spans="2:10" x14ac:dyDescent="0.25">
      <c r="B268" s="12" t="s">
        <v>3838</v>
      </c>
      <c r="C268" s="2" t="s">
        <v>11513</v>
      </c>
      <c r="E268" s="2" t="s">
        <v>80</v>
      </c>
      <c r="F268" s="12" t="s">
        <v>11354</v>
      </c>
      <c r="G268" s="2" t="s">
        <v>11803</v>
      </c>
      <c r="H268" s="26" t="s">
        <v>11355</v>
      </c>
      <c r="J268" s="5">
        <v>568.70111731843576</v>
      </c>
    </row>
    <row r="269" spans="2:10" x14ac:dyDescent="0.25">
      <c r="B269" s="12" t="s">
        <v>3838</v>
      </c>
      <c r="C269" s="2" t="s">
        <v>11513</v>
      </c>
      <c r="E269" s="2" t="s">
        <v>80</v>
      </c>
      <c r="F269" s="12" t="s">
        <v>11356</v>
      </c>
      <c r="G269" s="2" t="s">
        <v>11804</v>
      </c>
      <c r="H269" s="26" t="s">
        <v>11357</v>
      </c>
      <c r="J269" s="5">
        <v>536.20391061452517</v>
      </c>
    </row>
    <row r="270" spans="2:10" x14ac:dyDescent="0.25">
      <c r="B270" s="12" t="s">
        <v>3838</v>
      </c>
      <c r="C270" s="2" t="s">
        <v>11513</v>
      </c>
      <c r="E270" s="2" t="s">
        <v>80</v>
      </c>
      <c r="F270" s="12" t="s">
        <v>11358</v>
      </c>
      <c r="G270" s="2" t="s">
        <v>11805</v>
      </c>
      <c r="H270" s="26" t="s">
        <v>11359</v>
      </c>
      <c r="J270" s="5">
        <v>81.243016759776538</v>
      </c>
    </row>
    <row r="271" spans="2:10" x14ac:dyDescent="0.25">
      <c r="B271" s="12" t="s">
        <v>3838</v>
      </c>
      <c r="C271" s="2" t="s">
        <v>11513</v>
      </c>
      <c r="E271" s="2" t="s">
        <v>80</v>
      </c>
      <c r="F271" s="12" t="s">
        <v>11360</v>
      </c>
      <c r="G271" s="2" t="s">
        <v>11806</v>
      </c>
      <c r="H271" s="26" t="s">
        <v>11361</v>
      </c>
      <c r="J271" s="5">
        <v>81.243016759776538</v>
      </c>
    </row>
    <row r="272" spans="2:10" x14ac:dyDescent="0.25">
      <c r="B272" s="12" t="s">
        <v>3838</v>
      </c>
      <c r="C272" s="2" t="s">
        <v>11513</v>
      </c>
      <c r="E272" s="2" t="s">
        <v>80</v>
      </c>
      <c r="F272" s="12" t="s">
        <v>11362</v>
      </c>
      <c r="G272" s="2" t="s">
        <v>11807</v>
      </c>
      <c r="H272" s="26" t="s">
        <v>11363</v>
      </c>
      <c r="J272" s="5">
        <v>5988</v>
      </c>
    </row>
    <row r="273" spans="2:10" x14ac:dyDescent="0.25">
      <c r="B273" s="12" t="s">
        <v>3838</v>
      </c>
      <c r="C273" s="2" t="s">
        <v>11513</v>
      </c>
      <c r="E273" s="2" t="s">
        <v>80</v>
      </c>
      <c r="F273" s="12" t="s">
        <v>11364</v>
      </c>
      <c r="G273" s="2" t="s">
        <v>11808</v>
      </c>
      <c r="H273" s="26" t="s">
        <v>11365</v>
      </c>
      <c r="J273" s="5">
        <v>2118</v>
      </c>
    </row>
    <row r="274" spans="2:10" x14ac:dyDescent="0.25">
      <c r="B274" s="12" t="s">
        <v>3838</v>
      </c>
      <c r="C274" s="2" t="s">
        <v>11513</v>
      </c>
      <c r="E274" s="2" t="s">
        <v>80</v>
      </c>
      <c r="F274" s="12" t="s">
        <v>11256</v>
      </c>
      <c r="G274" s="2" t="s">
        <v>11809</v>
      </c>
      <c r="H274" s="26" t="s">
        <v>11532</v>
      </c>
      <c r="J274" s="5">
        <v>534</v>
      </c>
    </row>
    <row r="275" spans="2:10" x14ac:dyDescent="0.25">
      <c r="B275" s="12" t="s">
        <v>3838</v>
      </c>
      <c r="C275" s="2" t="s">
        <v>11513</v>
      </c>
      <c r="E275" s="2" t="s">
        <v>80</v>
      </c>
      <c r="F275" s="12" t="s">
        <v>11366</v>
      </c>
      <c r="G275" s="2" t="s">
        <v>11810</v>
      </c>
      <c r="H275" s="26" t="s">
        <v>11367</v>
      </c>
      <c r="J275" s="5">
        <v>1254</v>
      </c>
    </row>
    <row r="276" spans="2:10" x14ac:dyDescent="0.25">
      <c r="B276" s="12" t="s">
        <v>3838</v>
      </c>
      <c r="C276" s="2" t="s">
        <v>11513</v>
      </c>
      <c r="E276" s="2" t="s">
        <v>80</v>
      </c>
      <c r="F276" s="12" t="s">
        <v>11368</v>
      </c>
      <c r="G276" s="2" t="s">
        <v>11811</v>
      </c>
      <c r="H276" s="26" t="s">
        <v>11369</v>
      </c>
      <c r="J276" s="5">
        <v>1086</v>
      </c>
    </row>
    <row r="277" spans="2:10" x14ac:dyDescent="0.25">
      <c r="B277" s="12" t="s">
        <v>3838</v>
      </c>
      <c r="C277" s="2" t="s">
        <v>11513</v>
      </c>
      <c r="E277" s="2" t="s">
        <v>80</v>
      </c>
      <c r="F277" s="12" t="s">
        <v>11370</v>
      </c>
      <c r="G277" s="2" t="s">
        <v>11812</v>
      </c>
      <c r="H277" s="26" t="s">
        <v>11371</v>
      </c>
      <c r="J277" s="5">
        <v>894</v>
      </c>
    </row>
    <row r="278" spans="2:10" x14ac:dyDescent="0.25">
      <c r="B278" s="12" t="s">
        <v>3838</v>
      </c>
      <c r="C278" s="2" t="s">
        <v>11513</v>
      </c>
      <c r="E278" s="2" t="s">
        <v>80</v>
      </c>
      <c r="F278" s="12" t="s">
        <v>11372</v>
      </c>
      <c r="G278" s="2" t="s">
        <v>11813</v>
      </c>
      <c r="H278" s="26" t="s">
        <v>11373</v>
      </c>
      <c r="J278" s="5">
        <v>786</v>
      </c>
    </row>
    <row r="279" spans="2:10" x14ac:dyDescent="0.25">
      <c r="B279" s="12" t="s">
        <v>3838</v>
      </c>
      <c r="C279" s="2" t="s">
        <v>11513</v>
      </c>
      <c r="E279" s="2" t="s">
        <v>80</v>
      </c>
      <c r="F279" s="12" t="s">
        <v>11374</v>
      </c>
      <c r="G279" s="2" t="s">
        <v>11814</v>
      </c>
      <c r="H279" s="26" t="s">
        <v>11375</v>
      </c>
      <c r="J279" s="5">
        <v>660</v>
      </c>
    </row>
    <row r="280" spans="2:10" x14ac:dyDescent="0.25">
      <c r="B280" s="12" t="s">
        <v>3838</v>
      </c>
      <c r="C280" s="2" t="s">
        <v>11513</v>
      </c>
      <c r="E280" s="2" t="s">
        <v>80</v>
      </c>
      <c r="F280" s="12" t="s">
        <v>11257</v>
      </c>
      <c r="G280" s="2" t="s">
        <v>11815</v>
      </c>
      <c r="H280" s="26" t="s">
        <v>11533</v>
      </c>
      <c r="J280" s="5">
        <v>606</v>
      </c>
    </row>
    <row r="281" spans="2:10" x14ac:dyDescent="0.25">
      <c r="B281" s="12" t="s">
        <v>3838</v>
      </c>
      <c r="C281" s="2" t="s">
        <v>11513</v>
      </c>
      <c r="E281" s="2" t="s">
        <v>80</v>
      </c>
      <c r="F281" s="12" t="s">
        <v>11258</v>
      </c>
      <c r="G281" s="2" t="s">
        <v>11816</v>
      </c>
      <c r="H281" s="26" t="s">
        <v>11534</v>
      </c>
      <c r="J281" s="5">
        <v>402</v>
      </c>
    </row>
    <row r="282" spans="2:10" x14ac:dyDescent="0.25">
      <c r="B282" s="12" t="s">
        <v>3838</v>
      </c>
      <c r="C282" s="2" t="s">
        <v>11513</v>
      </c>
      <c r="E282" s="2" t="s">
        <v>80</v>
      </c>
      <c r="F282" s="12" t="s">
        <v>11376</v>
      </c>
      <c r="G282" s="2" t="s">
        <v>11817</v>
      </c>
      <c r="H282" s="26" t="s">
        <v>11377</v>
      </c>
      <c r="J282" s="5">
        <v>210</v>
      </c>
    </row>
    <row r="283" spans="2:10" x14ac:dyDescent="0.25">
      <c r="B283" s="12" t="s">
        <v>3838</v>
      </c>
      <c r="C283" s="2" t="s">
        <v>11513</v>
      </c>
      <c r="E283" s="2" t="s">
        <v>80</v>
      </c>
      <c r="F283" s="12" t="s">
        <v>11259</v>
      </c>
      <c r="G283" s="2" t="s">
        <v>11818</v>
      </c>
      <c r="H283" s="26" t="s">
        <v>11535</v>
      </c>
      <c r="J283" s="5">
        <v>186</v>
      </c>
    </row>
    <row r="284" spans="2:10" x14ac:dyDescent="0.25">
      <c r="B284" s="12" t="s">
        <v>3838</v>
      </c>
      <c r="C284" s="2" t="s">
        <v>11513</v>
      </c>
      <c r="E284" s="2" t="s">
        <v>80</v>
      </c>
      <c r="F284" s="12" t="s">
        <v>11260</v>
      </c>
      <c r="G284" s="2" t="s">
        <v>11819</v>
      </c>
      <c r="H284" s="26" t="s">
        <v>11536</v>
      </c>
      <c r="J284" s="5">
        <v>156</v>
      </c>
    </row>
    <row r="285" spans="2:10" x14ac:dyDescent="0.25">
      <c r="B285" s="12" t="s">
        <v>3838</v>
      </c>
      <c r="C285" s="2" t="s">
        <v>11513</v>
      </c>
      <c r="E285" s="2" t="s">
        <v>71</v>
      </c>
      <c r="F285" s="12" t="s">
        <v>11430</v>
      </c>
      <c r="G285" s="2" t="s">
        <v>11820</v>
      </c>
      <c r="H285" s="26" t="s">
        <v>11431</v>
      </c>
      <c r="J285" s="5">
        <v>16.248603351955307</v>
      </c>
    </row>
    <row r="286" spans="2:10" x14ac:dyDescent="0.25">
      <c r="B286" s="12" t="s">
        <v>3838</v>
      </c>
      <c r="C286" s="2" t="s">
        <v>11513</v>
      </c>
      <c r="E286" s="2" t="s">
        <v>84</v>
      </c>
      <c r="F286" s="12" t="s">
        <v>11238</v>
      </c>
      <c r="G286" s="2" t="s">
        <v>11821</v>
      </c>
      <c r="H286" s="26" t="s">
        <v>7603</v>
      </c>
      <c r="J286" s="5">
        <v>831.85549200000003</v>
      </c>
    </row>
    <row r="287" spans="2:10" x14ac:dyDescent="0.25">
      <c r="B287" s="12" t="s">
        <v>3838</v>
      </c>
      <c r="C287" s="2" t="s">
        <v>11513</v>
      </c>
      <c r="E287" s="2" t="s">
        <v>84</v>
      </c>
      <c r="F287" s="12" t="s">
        <v>11241</v>
      </c>
      <c r="G287" s="2" t="s">
        <v>11822</v>
      </c>
      <c r="H287" s="26" t="s">
        <v>9514</v>
      </c>
      <c r="J287" s="5">
        <v>14.464008000000002</v>
      </c>
    </row>
    <row r="288" spans="2:10" x14ac:dyDescent="0.25">
      <c r="B288" s="12" t="s">
        <v>3838</v>
      </c>
      <c r="C288" s="2" t="s">
        <v>11513</v>
      </c>
      <c r="E288" s="2" t="s">
        <v>11506</v>
      </c>
      <c r="F288" s="2" t="s">
        <v>11470</v>
      </c>
      <c r="G288" s="2" t="s">
        <v>11471</v>
      </c>
      <c r="H288" s="2" t="s">
        <v>760</v>
      </c>
      <c r="J288" s="5">
        <v>141609</v>
      </c>
    </row>
    <row r="289" spans="2:10" x14ac:dyDescent="0.25">
      <c r="B289" s="12" t="s">
        <v>3838</v>
      </c>
      <c r="C289" s="2" t="s">
        <v>11513</v>
      </c>
      <c r="E289" s="2" t="s">
        <v>11507</v>
      </c>
      <c r="F289" s="2" t="s">
        <v>11472</v>
      </c>
      <c r="G289" s="2" t="s">
        <v>11473</v>
      </c>
      <c r="H289" s="2" t="s">
        <v>8311</v>
      </c>
      <c r="J289" s="5">
        <v>96445.79</v>
      </c>
    </row>
    <row r="290" spans="2:10" x14ac:dyDescent="0.25">
      <c r="B290" s="12" t="s">
        <v>3838</v>
      </c>
      <c r="C290" s="2" t="s">
        <v>11513</v>
      </c>
      <c r="E290" s="2" t="s">
        <v>11508</v>
      </c>
      <c r="F290" s="2" t="s">
        <v>11474</v>
      </c>
      <c r="G290" s="2" t="s">
        <v>11475</v>
      </c>
      <c r="H290" s="2" t="s">
        <v>8557</v>
      </c>
      <c r="J290" s="5">
        <v>0</v>
      </c>
    </row>
    <row r="291" spans="2:10" x14ac:dyDescent="0.25">
      <c r="B291" s="12" t="s">
        <v>3838</v>
      </c>
      <c r="C291" s="2" t="s">
        <v>11513</v>
      </c>
      <c r="E291" s="2" t="s">
        <v>11508</v>
      </c>
      <c r="F291" s="2" t="s">
        <v>11476</v>
      </c>
      <c r="G291" s="2" t="s">
        <v>11477</v>
      </c>
      <c r="H291" s="2" t="s">
        <v>4767</v>
      </c>
      <c r="J291" s="5">
        <v>0</v>
      </c>
    </row>
    <row r="292" spans="2:10" x14ac:dyDescent="0.25">
      <c r="B292" s="12" t="s">
        <v>3838</v>
      </c>
      <c r="C292" s="2" t="s">
        <v>11513</v>
      </c>
      <c r="E292" s="2" t="s">
        <v>11506</v>
      </c>
      <c r="F292" s="2" t="s">
        <v>11478</v>
      </c>
      <c r="G292" s="2" t="s">
        <v>11479</v>
      </c>
      <c r="H292" s="2" t="s">
        <v>6077</v>
      </c>
      <c r="J292" s="5">
        <v>0</v>
      </c>
    </row>
    <row r="293" spans="2:10" x14ac:dyDescent="0.25">
      <c r="B293" s="12" t="s">
        <v>3838</v>
      </c>
      <c r="C293" s="2" t="s">
        <v>11513</v>
      </c>
      <c r="E293" s="2" t="s">
        <v>11509</v>
      </c>
      <c r="F293" s="2" t="s">
        <v>11480</v>
      </c>
      <c r="G293" s="2" t="s">
        <v>11481</v>
      </c>
      <c r="H293" s="2" t="s">
        <v>3984</v>
      </c>
      <c r="J293" s="5">
        <v>0</v>
      </c>
    </row>
    <row r="294" spans="2:10" x14ac:dyDescent="0.25">
      <c r="B294" s="12" t="s">
        <v>3838</v>
      </c>
      <c r="C294" s="2" t="s">
        <v>11513</v>
      </c>
      <c r="E294" s="2" t="s">
        <v>11510</v>
      </c>
      <c r="F294" s="2" t="s">
        <v>11482</v>
      </c>
      <c r="G294" s="2" t="s">
        <v>11483</v>
      </c>
      <c r="H294" s="2" t="s">
        <v>7295</v>
      </c>
      <c r="J294" s="5">
        <v>0</v>
      </c>
    </row>
    <row r="295" spans="2:10" x14ac:dyDescent="0.25">
      <c r="B295" s="12" t="s">
        <v>3838</v>
      </c>
      <c r="C295" s="2" t="s">
        <v>11513</v>
      </c>
      <c r="E295" s="2" t="s">
        <v>11511</v>
      </c>
      <c r="F295" s="2" t="s">
        <v>11484</v>
      </c>
      <c r="G295" s="2" t="s">
        <v>11485</v>
      </c>
      <c r="H295" s="2" t="s">
        <v>9118</v>
      </c>
      <c r="J295" s="5">
        <v>27958.7</v>
      </c>
    </row>
    <row r="296" spans="2:10" x14ac:dyDescent="0.25">
      <c r="B296" s="12" t="s">
        <v>3838</v>
      </c>
      <c r="C296" s="2" t="s">
        <v>11513</v>
      </c>
      <c r="E296" s="2" t="s">
        <v>11512</v>
      </c>
      <c r="F296" s="2" t="s">
        <v>11486</v>
      </c>
      <c r="G296" s="2" t="s">
        <v>11487</v>
      </c>
      <c r="H296" s="2" t="s">
        <v>3822</v>
      </c>
      <c r="J296" s="5">
        <v>6108.46</v>
      </c>
    </row>
    <row r="297" spans="2:10" x14ac:dyDescent="0.25">
      <c r="B297" s="12" t="s">
        <v>3838</v>
      </c>
      <c r="C297" s="2" t="s">
        <v>11513</v>
      </c>
      <c r="E297" s="2" t="s">
        <v>33</v>
      </c>
      <c r="F297" s="2" t="s">
        <v>11488</v>
      </c>
      <c r="G297" s="2" t="s">
        <v>11489</v>
      </c>
      <c r="H297" s="2" t="s">
        <v>3613</v>
      </c>
      <c r="J297" s="5">
        <v>39687.5</v>
      </c>
    </row>
    <row r="298" spans="2:10" x14ac:dyDescent="0.25">
      <c r="B298" s="12" t="s">
        <v>3838</v>
      </c>
      <c r="C298" s="2" t="s">
        <v>11513</v>
      </c>
      <c r="E298" s="2" t="s">
        <v>11492</v>
      </c>
      <c r="F298" s="2" t="s">
        <v>11490</v>
      </c>
      <c r="G298" s="2" t="s">
        <v>11491</v>
      </c>
      <c r="H298" s="2" t="s">
        <v>1165</v>
      </c>
      <c r="J298" s="5">
        <v>78789.75</v>
      </c>
    </row>
    <row r="299" spans="2:10" x14ac:dyDescent="0.25">
      <c r="B299" s="12" t="s">
        <v>3838</v>
      </c>
      <c r="C299" s="2" t="s">
        <v>11513</v>
      </c>
      <c r="E299" s="2" t="s">
        <v>11127</v>
      </c>
      <c r="H299" s="2" t="s">
        <v>5684</v>
      </c>
      <c r="J299" s="5">
        <v>56732.43</v>
      </c>
    </row>
    <row r="300" spans="2:10" x14ac:dyDescent="0.25">
      <c r="B300" s="12" t="s">
        <v>3838</v>
      </c>
      <c r="C300" s="2" t="s">
        <v>11513</v>
      </c>
      <c r="E300" s="2" t="s">
        <v>11127</v>
      </c>
      <c r="H300" s="2" t="s">
        <v>11072</v>
      </c>
      <c r="J300" s="5">
        <v>0</v>
      </c>
    </row>
    <row r="301" spans="2:10" x14ac:dyDescent="0.25">
      <c r="B301" s="12" t="s">
        <v>3838</v>
      </c>
      <c r="C301" s="2" t="s">
        <v>11513</v>
      </c>
      <c r="E301" s="2" t="s">
        <v>11127</v>
      </c>
      <c r="H301" s="2" t="s">
        <v>7695</v>
      </c>
      <c r="J301" s="5">
        <v>9358.68</v>
      </c>
    </row>
    <row r="302" spans="2:10" x14ac:dyDescent="0.25">
      <c r="B302" s="12" t="s">
        <v>3838</v>
      </c>
      <c r="C302" s="2" t="s">
        <v>11513</v>
      </c>
      <c r="E302" s="2" t="s">
        <v>11127</v>
      </c>
      <c r="H302" s="2" t="s">
        <v>3838</v>
      </c>
      <c r="J302" s="5">
        <v>381363.07</v>
      </c>
    </row>
    <row r="303" spans="2:10" x14ac:dyDescent="0.25">
      <c r="B303" s="12" t="s">
        <v>3838</v>
      </c>
      <c r="C303" s="2" t="s">
        <v>11513</v>
      </c>
      <c r="E303" s="2" t="s">
        <v>11127</v>
      </c>
      <c r="H303" s="2" t="s">
        <v>11827</v>
      </c>
      <c r="J303" s="5">
        <v>56256.08</v>
      </c>
    </row>
    <row r="304" spans="2:10" x14ac:dyDescent="0.25">
      <c r="B304" s="12" t="s">
        <v>3838</v>
      </c>
      <c r="C304" s="2" t="s">
        <v>11513</v>
      </c>
      <c r="E304" s="2" t="s">
        <v>11127</v>
      </c>
      <c r="H304" s="2" t="s">
        <v>11493</v>
      </c>
      <c r="J304" s="5">
        <v>22319.32</v>
      </c>
    </row>
    <row r="305" spans="1:10" x14ac:dyDescent="0.25">
      <c r="B305" s="12" t="s">
        <v>3838</v>
      </c>
      <c r="C305" s="2" t="s">
        <v>11513</v>
      </c>
      <c r="E305" s="2" t="s">
        <v>11127</v>
      </c>
      <c r="H305" s="2" t="s">
        <v>11494</v>
      </c>
      <c r="J305" s="5">
        <v>12000</v>
      </c>
    </row>
    <row r="306" spans="1:10" x14ac:dyDescent="0.25">
      <c r="B306" s="12" t="s">
        <v>3838</v>
      </c>
      <c r="C306" s="2" t="s">
        <v>11513</v>
      </c>
      <c r="E306" s="2" t="s">
        <v>11127</v>
      </c>
      <c r="H306" s="2" t="s">
        <v>11495</v>
      </c>
      <c r="J306" s="5">
        <v>9742.82</v>
      </c>
    </row>
    <row r="307" spans="1:10" x14ac:dyDescent="0.25">
      <c r="B307" s="12" t="s">
        <v>3838</v>
      </c>
      <c r="C307" s="2" t="s">
        <v>11513</v>
      </c>
      <c r="E307" s="2" t="s">
        <v>11127</v>
      </c>
      <c r="H307" s="2" t="s">
        <v>11496</v>
      </c>
      <c r="J307" s="5">
        <v>11250</v>
      </c>
    </row>
    <row r="308" spans="1:10" x14ac:dyDescent="0.25">
      <c r="B308" s="12" t="s">
        <v>3838</v>
      </c>
      <c r="C308" s="2" t="s">
        <v>11513</v>
      </c>
      <c r="E308" s="2" t="s">
        <v>11127</v>
      </c>
      <c r="H308" s="2" t="s">
        <v>11497</v>
      </c>
      <c r="J308" s="5">
        <v>1406.25</v>
      </c>
    </row>
    <row r="309" spans="1:10" x14ac:dyDescent="0.25">
      <c r="B309" s="12" t="s">
        <v>3838</v>
      </c>
      <c r="C309" s="2" t="s">
        <v>11513</v>
      </c>
      <c r="E309" s="2" t="s">
        <v>17</v>
      </c>
      <c r="F309" s="2" t="s">
        <v>11498</v>
      </c>
      <c r="H309" s="2" t="s">
        <v>2297</v>
      </c>
      <c r="J309" s="5">
        <v>28133.360000000001</v>
      </c>
    </row>
    <row r="310" spans="1:10" x14ac:dyDescent="0.25">
      <c r="B310" s="12" t="s">
        <v>3838</v>
      </c>
      <c r="C310" s="2" t="s">
        <v>11513</v>
      </c>
      <c r="E310" s="2" t="s">
        <v>17</v>
      </c>
      <c r="F310" s="2" t="s">
        <v>11499</v>
      </c>
      <c r="H310" s="2" t="s">
        <v>1039</v>
      </c>
      <c r="J310" s="5">
        <v>163119.35999999999</v>
      </c>
    </row>
    <row r="311" spans="1:10" x14ac:dyDescent="0.25">
      <c r="B311" s="12" t="s">
        <v>3838</v>
      </c>
      <c r="C311" s="2" t="s">
        <v>11513</v>
      </c>
      <c r="E311" s="2" t="s">
        <v>17</v>
      </c>
      <c r="F311" s="2" t="s">
        <v>11500</v>
      </c>
      <c r="G311" s="26">
        <v>1078477</v>
      </c>
      <c r="H311" s="2" t="s">
        <v>994</v>
      </c>
      <c r="J311" s="5">
        <v>753.53</v>
      </c>
    </row>
    <row r="312" spans="1:10" x14ac:dyDescent="0.25">
      <c r="B312" s="12" t="s">
        <v>3838</v>
      </c>
      <c r="C312" s="2" t="s">
        <v>11513</v>
      </c>
      <c r="E312" s="2" t="s">
        <v>11127</v>
      </c>
      <c r="G312" s="26"/>
      <c r="H312" s="2" t="s">
        <v>3816</v>
      </c>
      <c r="J312" s="5">
        <v>937.5</v>
      </c>
    </row>
    <row r="313" spans="1:10" x14ac:dyDescent="0.25">
      <c r="B313" s="12" t="s">
        <v>3838</v>
      </c>
      <c r="C313" s="2" t="s">
        <v>11513</v>
      </c>
      <c r="E313" s="2" t="s">
        <v>11127</v>
      </c>
      <c r="G313" s="26"/>
      <c r="H313" s="2" t="s">
        <v>11501</v>
      </c>
      <c r="J313" s="5">
        <v>20727.400000000001</v>
      </c>
    </row>
    <row r="314" spans="1:10" x14ac:dyDescent="0.25">
      <c r="B314" s="12" t="s">
        <v>3838</v>
      </c>
      <c r="C314" s="2" t="s">
        <v>11513</v>
      </c>
      <c r="E314" s="2" t="s">
        <v>11127</v>
      </c>
      <c r="G314" s="26"/>
      <c r="H314" s="2" t="s">
        <v>11502</v>
      </c>
      <c r="J314" s="5">
        <v>23865.3</v>
      </c>
    </row>
    <row r="315" spans="1:10" x14ac:dyDescent="0.25">
      <c r="B315" s="12" t="s">
        <v>3838</v>
      </c>
      <c r="C315" s="2" t="s">
        <v>11513</v>
      </c>
      <c r="E315" s="2" t="s">
        <v>11127</v>
      </c>
      <c r="G315" s="26"/>
      <c r="H315" s="2" t="s">
        <v>11503</v>
      </c>
      <c r="J315" s="5">
        <v>218619</v>
      </c>
    </row>
    <row r="316" spans="1:10" x14ac:dyDescent="0.25">
      <c r="B316" s="12" t="s">
        <v>3838</v>
      </c>
      <c r="C316" s="2" t="s">
        <v>11513</v>
      </c>
      <c r="E316" s="2" t="s">
        <v>11127</v>
      </c>
      <c r="G316" s="26"/>
      <c r="H316" s="2" t="s">
        <v>11504</v>
      </c>
      <c r="J316" s="5">
        <v>32352</v>
      </c>
    </row>
    <row r="317" spans="1:10" x14ac:dyDescent="0.25">
      <c r="B317" s="12" t="s">
        <v>3838</v>
      </c>
      <c r="C317" s="2" t="s">
        <v>11513</v>
      </c>
      <c r="E317" s="12" t="s">
        <v>11</v>
      </c>
      <c r="G317" s="26"/>
      <c r="H317" s="12" t="s">
        <v>11505</v>
      </c>
      <c r="J317" s="5">
        <v>937.5</v>
      </c>
    </row>
    <row r="318" spans="1:10" x14ac:dyDescent="0.25">
      <c r="A318"/>
      <c r="B318" s="12" t="s">
        <v>3838</v>
      </c>
      <c r="C318" s="2" t="s">
        <v>11513</v>
      </c>
      <c r="E318" s="2" t="s">
        <v>33</v>
      </c>
      <c r="F318" t="str">
        <f>"1508868407"</f>
        <v>1508868407</v>
      </c>
      <c r="G318" s="26"/>
      <c r="H318" s="2" t="s">
        <v>11823</v>
      </c>
      <c r="J318" s="5">
        <v>56049.51</v>
      </c>
    </row>
    <row r="319" spans="1:10" x14ac:dyDescent="0.25">
      <c r="B319" s="12" t="s">
        <v>3838</v>
      </c>
      <c r="C319" s="2" t="s">
        <v>11513</v>
      </c>
      <c r="E319" s="2" t="s">
        <v>11127</v>
      </c>
      <c r="G319" s="26"/>
      <c r="H319" s="2" t="s">
        <v>11514</v>
      </c>
      <c r="J319" s="5">
        <v>1312.5</v>
      </c>
    </row>
    <row r="320" spans="1:10" x14ac:dyDescent="0.25">
      <c r="B320" s="12" t="s">
        <v>3838</v>
      </c>
      <c r="C320" s="2" t="s">
        <v>11513</v>
      </c>
      <c r="E320" s="2" t="s">
        <v>11127</v>
      </c>
      <c r="G320" s="26"/>
      <c r="H320" s="2" t="s">
        <v>11515</v>
      </c>
      <c r="J320" s="5">
        <v>937.5</v>
      </c>
    </row>
    <row r="321" spans="1:23" x14ac:dyDescent="0.25">
      <c r="A321"/>
      <c r="B321" s="12" t="s">
        <v>3838</v>
      </c>
      <c r="C321" s="2" t="s">
        <v>11513</v>
      </c>
      <c r="E321" s="2" t="s">
        <v>33</v>
      </c>
      <c r="G321" s="29" t="str">
        <f>"02002808"</f>
        <v>02002808</v>
      </c>
      <c r="H321" s="2" t="s">
        <v>11516</v>
      </c>
      <c r="J321" s="5">
        <v>937.5</v>
      </c>
    </row>
    <row r="322" spans="1:23" x14ac:dyDescent="0.25">
      <c r="B322" s="12" t="s">
        <v>3838</v>
      </c>
      <c r="C322" s="2" t="s">
        <v>11513</v>
      </c>
      <c r="E322" s="2" t="s">
        <v>84</v>
      </c>
      <c r="G322" s="26"/>
      <c r="H322" s="2" t="s">
        <v>11824</v>
      </c>
      <c r="J322" s="5">
        <v>15732.84</v>
      </c>
    </row>
    <row r="323" spans="1:23" x14ac:dyDescent="0.25">
      <c r="B323" s="12" t="s">
        <v>3838</v>
      </c>
      <c r="C323" s="2" t="s">
        <v>11513</v>
      </c>
      <c r="E323" s="12" t="s">
        <v>11</v>
      </c>
      <c r="F323" s="2" t="str">
        <f>"1265665954"</f>
        <v>1265665954</v>
      </c>
      <c r="G323" s="29" t="str">
        <f>"03156952"</f>
        <v>03156952</v>
      </c>
      <c r="H323" s="2" t="s">
        <v>11825</v>
      </c>
      <c r="J323" s="5">
        <v>937.5</v>
      </c>
    </row>
    <row r="324" spans="1:23" x14ac:dyDescent="0.25">
      <c r="B324" s="12" t="s">
        <v>3838</v>
      </c>
      <c r="C324" s="2" t="s">
        <v>11513</v>
      </c>
      <c r="E324" s="2" t="s">
        <v>33</v>
      </c>
      <c r="H324" s="2" t="s">
        <v>394</v>
      </c>
      <c r="J324" s="5">
        <v>12183.33</v>
      </c>
    </row>
    <row r="325" spans="1:23" x14ac:dyDescent="0.25">
      <c r="B325" s="12" t="s">
        <v>3838</v>
      </c>
      <c r="C325" s="2" t="s">
        <v>11513</v>
      </c>
      <c r="E325" s="12" t="s">
        <v>11</v>
      </c>
      <c r="H325" s="2" t="s">
        <v>11826</v>
      </c>
      <c r="J325" s="5">
        <v>32111</v>
      </c>
    </row>
    <row r="326" spans="1:23" x14ac:dyDescent="0.25">
      <c r="B326" s="12" t="s">
        <v>3838</v>
      </c>
      <c r="C326" s="2" t="s">
        <v>11513</v>
      </c>
      <c r="E326" s="2" t="s">
        <v>11127</v>
      </c>
      <c r="H326" s="2" t="s">
        <v>11828</v>
      </c>
      <c r="J326" s="5">
        <v>1875</v>
      </c>
    </row>
    <row r="328" spans="1:23" x14ac:dyDescent="0.25">
      <c r="W328" s="5">
        <f>SUM(J3:J326)</f>
        <v>1924965.9392710007</v>
      </c>
    </row>
  </sheetData>
  <sheetProtection algorithmName="SHA-512" hashValue="4kXWgNXBUwX7uTMoLrxp1Xwd9Us8NzdvvgSLNQJfiSOe3xFr1l3E76436GksCQAzqdu9wZ7pr/jVgoQG6JR2Pw==" saltValue="WfceQ1fWwcjxI4Co0VZf8Q==" spinCount="100000" sheet="1" objects="1" scenarios="1"/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E324 E326:E1048576 E318:E322 E3:E316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30"/>
  <sheetViews>
    <sheetView zoomScaleNormal="10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G30" sqref="G30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ht="26.25" x14ac:dyDescent="0.4">
      <c r="A1" s="24" t="s">
        <v>11830</v>
      </c>
    </row>
    <row r="3" spans="1:18" x14ac:dyDescent="0.25">
      <c r="A3" s="44" t="s">
        <v>3</v>
      </c>
      <c r="B3" s="45"/>
      <c r="C3" s="48" t="s">
        <v>11101</v>
      </c>
      <c r="D3" s="49"/>
      <c r="E3" s="48" t="s">
        <v>11102</v>
      </c>
      <c r="F3" s="49"/>
      <c r="G3" s="48" t="s">
        <v>11104</v>
      </c>
      <c r="H3" s="49"/>
      <c r="I3" s="48" t="s">
        <v>11105</v>
      </c>
      <c r="J3" s="49"/>
      <c r="K3" s="48" t="s">
        <v>11106</v>
      </c>
      <c r="L3" s="49"/>
      <c r="M3" s="48" t="s">
        <v>11107</v>
      </c>
      <c r="N3" s="49"/>
      <c r="O3" s="48" t="s">
        <v>11108</v>
      </c>
      <c r="P3" s="49"/>
      <c r="Q3" s="48" t="s">
        <v>11109</v>
      </c>
      <c r="R3" s="49"/>
    </row>
    <row r="4" spans="1:18" x14ac:dyDescent="0.25">
      <c r="A4" s="46"/>
      <c r="B4" s="47"/>
      <c r="C4" s="23" t="s">
        <v>30</v>
      </c>
      <c r="D4" s="23" t="s">
        <v>31</v>
      </c>
      <c r="E4" s="23" t="s">
        <v>30</v>
      </c>
      <c r="F4" s="23" t="s">
        <v>31</v>
      </c>
      <c r="G4" s="23" t="s">
        <v>30</v>
      </c>
      <c r="H4" s="23" t="s">
        <v>31</v>
      </c>
      <c r="I4" s="23" t="s">
        <v>30</v>
      </c>
      <c r="J4" s="23" t="s">
        <v>31</v>
      </c>
      <c r="K4" s="23" t="s">
        <v>30</v>
      </c>
      <c r="L4" s="23" t="s">
        <v>31</v>
      </c>
      <c r="M4" s="23" t="s">
        <v>30</v>
      </c>
      <c r="N4" s="23" t="s">
        <v>31</v>
      </c>
      <c r="O4" s="23" t="s">
        <v>30</v>
      </c>
      <c r="P4" s="23" t="s">
        <v>31</v>
      </c>
      <c r="Q4" s="23" t="s">
        <v>30</v>
      </c>
      <c r="R4" s="23" t="s">
        <v>31</v>
      </c>
    </row>
    <row r="5" spans="1:18" x14ac:dyDescent="0.25">
      <c r="A5" s="43" t="s">
        <v>4</v>
      </c>
      <c r="B5" s="3" t="s">
        <v>20</v>
      </c>
      <c r="C5" s="2">
        <v>351</v>
      </c>
      <c r="D5" s="2">
        <v>597</v>
      </c>
      <c r="E5" s="2">
        <v>0</v>
      </c>
      <c r="F5" s="2">
        <v>146</v>
      </c>
      <c r="G5" s="2">
        <v>351</v>
      </c>
      <c r="H5" s="2">
        <v>435</v>
      </c>
      <c r="I5" s="2">
        <v>0</v>
      </c>
      <c r="J5" s="2">
        <v>10</v>
      </c>
      <c r="K5" s="2">
        <v>351</v>
      </c>
      <c r="L5" s="2">
        <v>280</v>
      </c>
      <c r="M5" s="2">
        <v>351</v>
      </c>
      <c r="N5" s="2">
        <v>496</v>
      </c>
      <c r="O5" s="2">
        <v>0</v>
      </c>
      <c r="P5" s="2">
        <v>3</v>
      </c>
      <c r="Q5" s="2">
        <v>351</v>
      </c>
      <c r="R5" s="2">
        <v>447</v>
      </c>
    </row>
    <row r="6" spans="1:18" x14ac:dyDescent="0.25">
      <c r="A6" s="43"/>
      <c r="B6" s="3" t="s">
        <v>26</v>
      </c>
      <c r="C6" s="2">
        <v>41</v>
      </c>
      <c r="D6" s="2">
        <v>49</v>
      </c>
      <c r="E6" s="2">
        <v>41</v>
      </c>
      <c r="F6" s="2">
        <v>29</v>
      </c>
      <c r="G6" s="2">
        <v>41</v>
      </c>
      <c r="H6" s="2">
        <v>39</v>
      </c>
      <c r="I6" s="2">
        <v>41</v>
      </c>
      <c r="J6" s="2">
        <v>0</v>
      </c>
      <c r="K6" s="2">
        <v>41</v>
      </c>
      <c r="L6" s="2">
        <v>33</v>
      </c>
      <c r="M6" s="2">
        <v>41</v>
      </c>
      <c r="N6" s="2">
        <v>38</v>
      </c>
      <c r="O6" s="2">
        <v>41</v>
      </c>
      <c r="P6" s="2">
        <v>1</v>
      </c>
      <c r="Q6" s="2">
        <v>41</v>
      </c>
      <c r="R6" s="2">
        <v>35</v>
      </c>
    </row>
    <row r="7" spans="1:18" x14ac:dyDescent="0.25">
      <c r="A7" s="43" t="s">
        <v>5</v>
      </c>
      <c r="B7" s="3" t="s">
        <v>20</v>
      </c>
      <c r="C7" s="2">
        <v>1011</v>
      </c>
      <c r="D7" s="2">
        <v>1373</v>
      </c>
      <c r="E7" s="2">
        <v>0</v>
      </c>
      <c r="F7" s="2">
        <v>79</v>
      </c>
      <c r="G7" s="2">
        <v>252</v>
      </c>
      <c r="H7" s="2">
        <v>393</v>
      </c>
      <c r="I7" s="2">
        <v>0</v>
      </c>
      <c r="J7" s="2">
        <v>15</v>
      </c>
      <c r="K7" s="2">
        <v>126</v>
      </c>
      <c r="L7" s="2">
        <v>208</v>
      </c>
      <c r="M7" s="2">
        <v>252</v>
      </c>
      <c r="N7" s="2">
        <v>534</v>
      </c>
      <c r="O7" s="2">
        <v>0</v>
      </c>
      <c r="P7" s="2">
        <v>30</v>
      </c>
      <c r="Q7" s="2">
        <v>316</v>
      </c>
      <c r="R7" s="2">
        <v>9</v>
      </c>
    </row>
    <row r="8" spans="1:18" x14ac:dyDescent="0.25">
      <c r="A8" s="43"/>
      <c r="B8" s="3" t="s">
        <v>26</v>
      </c>
      <c r="C8" s="2">
        <v>30</v>
      </c>
      <c r="D8" s="2">
        <v>39</v>
      </c>
      <c r="E8" s="2">
        <v>0</v>
      </c>
      <c r="F8" s="2">
        <v>15</v>
      </c>
      <c r="G8" s="2">
        <v>30</v>
      </c>
      <c r="H8" s="2">
        <v>30</v>
      </c>
      <c r="I8" s="2">
        <v>30</v>
      </c>
      <c r="J8" s="2">
        <v>0</v>
      </c>
      <c r="K8" s="2">
        <v>30</v>
      </c>
      <c r="L8" s="2">
        <v>10</v>
      </c>
      <c r="M8" s="2">
        <v>30</v>
      </c>
      <c r="N8" s="2">
        <v>12</v>
      </c>
      <c r="O8" s="2">
        <v>22</v>
      </c>
      <c r="P8" s="2">
        <v>6</v>
      </c>
      <c r="Q8" s="2">
        <v>30</v>
      </c>
      <c r="R8" s="2">
        <v>0</v>
      </c>
    </row>
    <row r="9" spans="1:18" x14ac:dyDescent="0.25">
      <c r="A9" s="43" t="s">
        <v>32</v>
      </c>
      <c r="B9" s="3" t="s">
        <v>20</v>
      </c>
      <c r="C9" s="2">
        <v>9</v>
      </c>
      <c r="D9" s="2">
        <v>11</v>
      </c>
      <c r="E9" s="2">
        <v>0</v>
      </c>
      <c r="F9" s="2">
        <v>8</v>
      </c>
      <c r="G9" s="2">
        <v>9</v>
      </c>
      <c r="H9" s="2">
        <v>9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3</v>
      </c>
      <c r="O9" s="2">
        <v>0</v>
      </c>
      <c r="P9" s="2">
        <v>4</v>
      </c>
      <c r="Q9" s="2">
        <v>0</v>
      </c>
      <c r="R9" s="2">
        <v>1</v>
      </c>
    </row>
    <row r="10" spans="1:18" x14ac:dyDescent="0.25">
      <c r="A10" s="43"/>
      <c r="B10" s="3" t="s">
        <v>26</v>
      </c>
      <c r="C10" s="2">
        <v>4</v>
      </c>
      <c r="D10" s="2">
        <v>7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</v>
      </c>
      <c r="K10" s="2">
        <v>0</v>
      </c>
      <c r="L10" s="2">
        <v>1</v>
      </c>
      <c r="M10" s="2">
        <v>0</v>
      </c>
      <c r="N10" s="2">
        <v>2</v>
      </c>
      <c r="O10" s="2">
        <v>2</v>
      </c>
      <c r="P10" s="2">
        <v>4</v>
      </c>
      <c r="Q10" s="2">
        <v>0</v>
      </c>
      <c r="R10" s="2">
        <v>0</v>
      </c>
    </row>
    <row r="11" spans="1:18" x14ac:dyDescent="0.25">
      <c r="A11" s="43" t="s">
        <v>9</v>
      </c>
      <c r="B11" s="3" t="s">
        <v>20</v>
      </c>
      <c r="C11" s="2">
        <v>17</v>
      </c>
      <c r="D11" s="2">
        <v>16</v>
      </c>
      <c r="E11" s="2">
        <v>0</v>
      </c>
      <c r="F11" s="2">
        <v>8</v>
      </c>
      <c r="G11" s="2">
        <v>0</v>
      </c>
      <c r="H11" s="2">
        <v>10</v>
      </c>
      <c r="I11" s="2">
        <v>0</v>
      </c>
      <c r="J11" s="2">
        <v>2</v>
      </c>
      <c r="K11" s="2">
        <v>17</v>
      </c>
      <c r="L11" s="2">
        <v>3</v>
      </c>
      <c r="M11" s="2">
        <v>17</v>
      </c>
      <c r="N11" s="2">
        <v>5</v>
      </c>
      <c r="O11" s="2">
        <v>0</v>
      </c>
      <c r="P11" s="2">
        <v>4</v>
      </c>
      <c r="Q11" s="2">
        <v>17</v>
      </c>
      <c r="R11" s="2">
        <v>1</v>
      </c>
    </row>
    <row r="12" spans="1:18" x14ac:dyDescent="0.25">
      <c r="A12" s="43"/>
      <c r="B12" s="3" t="s">
        <v>26</v>
      </c>
      <c r="C12" s="2">
        <v>13</v>
      </c>
      <c r="D12" s="2">
        <v>11</v>
      </c>
      <c r="E12" s="2">
        <v>13</v>
      </c>
      <c r="F12" s="2">
        <v>5</v>
      </c>
      <c r="G12" s="2">
        <v>0</v>
      </c>
      <c r="H12" s="2">
        <v>8</v>
      </c>
      <c r="I12" s="2">
        <v>13</v>
      </c>
      <c r="J12" s="2">
        <v>2</v>
      </c>
      <c r="K12" s="2">
        <v>13</v>
      </c>
      <c r="L12" s="2">
        <v>3</v>
      </c>
      <c r="M12" s="2">
        <v>13</v>
      </c>
      <c r="N12" s="2">
        <v>4</v>
      </c>
      <c r="O12" s="2">
        <v>13</v>
      </c>
      <c r="P12" s="2">
        <v>4</v>
      </c>
      <c r="Q12" s="2">
        <v>13</v>
      </c>
      <c r="R12" s="2">
        <v>0</v>
      </c>
    </row>
    <row r="13" spans="1:18" x14ac:dyDescent="0.25">
      <c r="A13" s="43" t="s">
        <v>33</v>
      </c>
      <c r="B13" s="3" t="s">
        <v>20</v>
      </c>
      <c r="C13" s="2">
        <v>12</v>
      </c>
      <c r="D13" s="2">
        <v>7</v>
      </c>
      <c r="E13" s="2">
        <v>0</v>
      </c>
      <c r="F13" s="2">
        <v>1</v>
      </c>
      <c r="G13" s="2">
        <v>12</v>
      </c>
      <c r="H13" s="2">
        <v>2</v>
      </c>
      <c r="I13" s="2">
        <v>0</v>
      </c>
      <c r="J13" s="2">
        <v>0</v>
      </c>
      <c r="K13" s="2">
        <v>0</v>
      </c>
      <c r="L13" s="2">
        <v>7</v>
      </c>
      <c r="M13" s="2">
        <v>12</v>
      </c>
      <c r="N13" s="2">
        <v>5</v>
      </c>
      <c r="O13" s="2">
        <v>0</v>
      </c>
      <c r="P13" s="2">
        <v>1</v>
      </c>
      <c r="Q13" s="2">
        <v>0</v>
      </c>
      <c r="R13" s="2">
        <v>0</v>
      </c>
    </row>
    <row r="14" spans="1:18" x14ac:dyDescent="0.25">
      <c r="A14" s="43"/>
      <c r="B14" s="3" t="s">
        <v>26</v>
      </c>
      <c r="C14" s="2">
        <v>6</v>
      </c>
      <c r="D14" s="2">
        <v>6</v>
      </c>
      <c r="E14" s="2">
        <v>6</v>
      </c>
      <c r="F14" s="2">
        <v>0</v>
      </c>
      <c r="G14" s="2">
        <v>6</v>
      </c>
      <c r="H14" s="2">
        <v>2</v>
      </c>
      <c r="I14" s="2">
        <v>6</v>
      </c>
      <c r="J14" s="2">
        <v>0</v>
      </c>
      <c r="K14" s="2">
        <v>0</v>
      </c>
      <c r="L14" s="2">
        <v>6</v>
      </c>
      <c r="M14" s="2">
        <v>6</v>
      </c>
      <c r="N14" s="2">
        <v>5</v>
      </c>
      <c r="O14" s="2">
        <v>6</v>
      </c>
      <c r="P14" s="2">
        <v>1</v>
      </c>
      <c r="Q14" s="2">
        <v>0</v>
      </c>
      <c r="R14" s="2">
        <v>0</v>
      </c>
    </row>
    <row r="15" spans="1:18" x14ac:dyDescent="0.25">
      <c r="A15" s="43" t="s">
        <v>10</v>
      </c>
      <c r="B15" s="3" t="s">
        <v>20</v>
      </c>
      <c r="C15" s="2">
        <v>45</v>
      </c>
      <c r="D15" s="2">
        <v>80</v>
      </c>
      <c r="E15" s="2">
        <v>0</v>
      </c>
      <c r="F15" s="2">
        <v>12</v>
      </c>
      <c r="G15" s="2">
        <v>0</v>
      </c>
      <c r="H15" s="2">
        <v>40</v>
      </c>
      <c r="I15" s="2">
        <v>0</v>
      </c>
      <c r="J15" s="2">
        <v>4</v>
      </c>
      <c r="K15" s="2">
        <v>45</v>
      </c>
      <c r="L15" s="2">
        <v>53</v>
      </c>
      <c r="M15" s="2">
        <v>45</v>
      </c>
      <c r="N15" s="2">
        <v>60</v>
      </c>
      <c r="O15" s="2">
        <v>0</v>
      </c>
      <c r="P15" s="2">
        <v>8</v>
      </c>
      <c r="Q15" s="2">
        <v>0</v>
      </c>
      <c r="R15" s="2">
        <v>0</v>
      </c>
    </row>
    <row r="16" spans="1:18" x14ac:dyDescent="0.25">
      <c r="A16" s="43"/>
      <c r="B16" s="3" t="s">
        <v>26</v>
      </c>
      <c r="C16" s="2">
        <v>15</v>
      </c>
      <c r="D16" s="2">
        <v>36</v>
      </c>
      <c r="E16" s="2">
        <v>0</v>
      </c>
      <c r="F16" s="2">
        <v>8</v>
      </c>
      <c r="G16" s="2">
        <v>0</v>
      </c>
      <c r="H16" s="2">
        <v>23</v>
      </c>
      <c r="I16" s="2">
        <v>15</v>
      </c>
      <c r="J16" s="2">
        <v>4</v>
      </c>
      <c r="K16" s="2">
        <v>15</v>
      </c>
      <c r="L16" s="2">
        <v>29</v>
      </c>
      <c r="M16" s="2">
        <v>15</v>
      </c>
      <c r="N16" s="2">
        <v>25</v>
      </c>
      <c r="O16" s="2">
        <v>0</v>
      </c>
      <c r="P16" s="2">
        <v>8</v>
      </c>
      <c r="Q16" s="2">
        <v>0</v>
      </c>
      <c r="R16" s="2">
        <v>0</v>
      </c>
    </row>
    <row r="17" spans="1:18" x14ac:dyDescent="0.25">
      <c r="A17" s="43" t="s">
        <v>11</v>
      </c>
      <c r="B17" s="3" t="s">
        <v>20</v>
      </c>
      <c r="C17" s="2">
        <v>15</v>
      </c>
      <c r="D17" s="2">
        <v>25</v>
      </c>
      <c r="E17" s="2">
        <v>0</v>
      </c>
      <c r="F17" s="2">
        <v>9</v>
      </c>
      <c r="G17" s="2">
        <v>0</v>
      </c>
      <c r="H17" s="2">
        <v>20</v>
      </c>
      <c r="I17" s="2">
        <v>0</v>
      </c>
      <c r="J17" s="2">
        <v>4</v>
      </c>
      <c r="K17" s="2">
        <v>15</v>
      </c>
      <c r="L17" s="2">
        <v>21</v>
      </c>
      <c r="M17" s="2">
        <v>15</v>
      </c>
      <c r="N17" s="2">
        <v>18</v>
      </c>
      <c r="O17" s="2">
        <v>0</v>
      </c>
      <c r="P17" s="2">
        <v>8</v>
      </c>
      <c r="Q17" s="2">
        <v>0</v>
      </c>
      <c r="R17" s="2">
        <v>0</v>
      </c>
    </row>
    <row r="18" spans="1:18" x14ac:dyDescent="0.25">
      <c r="A18" s="43"/>
      <c r="B18" s="3" t="s">
        <v>26</v>
      </c>
      <c r="C18" s="2">
        <v>14</v>
      </c>
      <c r="D18" s="2">
        <v>24</v>
      </c>
      <c r="E18" s="2">
        <v>0</v>
      </c>
      <c r="F18" s="2">
        <v>9</v>
      </c>
      <c r="G18" s="2">
        <v>0</v>
      </c>
      <c r="H18" s="2">
        <v>19</v>
      </c>
      <c r="I18" s="2">
        <v>14</v>
      </c>
      <c r="J18" s="2">
        <v>4</v>
      </c>
      <c r="K18" s="2">
        <v>14</v>
      </c>
      <c r="L18" s="2">
        <v>20</v>
      </c>
      <c r="M18" s="2">
        <v>14</v>
      </c>
      <c r="N18" s="2">
        <v>17</v>
      </c>
      <c r="O18" s="2">
        <v>0</v>
      </c>
      <c r="P18" s="2">
        <v>8</v>
      </c>
      <c r="Q18" s="2">
        <v>0</v>
      </c>
      <c r="R18" s="2">
        <v>0</v>
      </c>
    </row>
    <row r="19" spans="1:18" x14ac:dyDescent="0.25">
      <c r="A19" s="43" t="s">
        <v>15</v>
      </c>
      <c r="B19" s="3" t="s">
        <v>20</v>
      </c>
      <c r="C19" s="2">
        <v>29</v>
      </c>
      <c r="D19" s="2">
        <v>9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</row>
    <row r="20" spans="1:18" x14ac:dyDescent="0.25">
      <c r="A20" s="43"/>
      <c r="B20" s="3" t="s">
        <v>26</v>
      </c>
      <c r="C20" s="2">
        <v>28</v>
      </c>
      <c r="D20" s="2">
        <v>7</v>
      </c>
      <c r="E20" s="2">
        <v>0</v>
      </c>
      <c r="F20" s="2">
        <v>1</v>
      </c>
      <c r="G20" s="2">
        <v>0</v>
      </c>
      <c r="H20" s="2">
        <v>2</v>
      </c>
      <c r="I20" s="2">
        <v>28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</row>
    <row r="21" spans="1:18" x14ac:dyDescent="0.25">
      <c r="A21" s="43" t="s">
        <v>16</v>
      </c>
      <c r="B21" s="3" t="s">
        <v>20</v>
      </c>
      <c r="C21" s="2">
        <v>4</v>
      </c>
      <c r="D21" s="2">
        <v>10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v>0</v>
      </c>
      <c r="M21" s="2">
        <v>4</v>
      </c>
      <c r="N21" s="2">
        <v>1</v>
      </c>
      <c r="O21" s="2">
        <v>0</v>
      </c>
      <c r="P21" s="2">
        <v>3</v>
      </c>
      <c r="Q21" s="2">
        <v>0</v>
      </c>
      <c r="R21" s="2">
        <v>0</v>
      </c>
    </row>
    <row r="22" spans="1:18" x14ac:dyDescent="0.25">
      <c r="A22" s="43"/>
      <c r="B22" s="3" t="s">
        <v>26</v>
      </c>
      <c r="C22" s="2">
        <v>1</v>
      </c>
      <c r="D22" s="2">
        <v>4</v>
      </c>
      <c r="E22" s="2">
        <v>0</v>
      </c>
      <c r="F22" s="2">
        <v>3</v>
      </c>
      <c r="G22" s="2">
        <v>0</v>
      </c>
      <c r="H22" s="2">
        <v>3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3</v>
      </c>
      <c r="Q22" s="2">
        <v>0</v>
      </c>
      <c r="R22" s="2">
        <v>0</v>
      </c>
    </row>
    <row r="23" spans="1:18" x14ac:dyDescent="0.25">
      <c r="A23" s="43" t="s">
        <v>17</v>
      </c>
      <c r="B23" s="3" t="s">
        <v>20</v>
      </c>
      <c r="C23" s="2">
        <v>1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3</v>
      </c>
    </row>
    <row r="24" spans="1:18" x14ac:dyDescent="0.25">
      <c r="A24" s="43"/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43" t="s">
        <v>34</v>
      </c>
      <c r="B25" s="3" t="s">
        <v>20</v>
      </c>
      <c r="C25" s="2">
        <v>26</v>
      </c>
      <c r="D25" s="2">
        <v>97</v>
      </c>
      <c r="E25" s="2">
        <v>0</v>
      </c>
      <c r="F25" s="2">
        <v>8</v>
      </c>
      <c r="G25" s="2">
        <v>26</v>
      </c>
      <c r="H25" s="2">
        <v>25</v>
      </c>
      <c r="I25" s="2">
        <v>0</v>
      </c>
      <c r="J25" s="2">
        <v>2</v>
      </c>
      <c r="K25" s="2">
        <v>26</v>
      </c>
      <c r="L25" s="2">
        <v>63</v>
      </c>
      <c r="M25" s="2">
        <v>26</v>
      </c>
      <c r="N25" s="2">
        <v>67</v>
      </c>
      <c r="O25" s="2">
        <v>0</v>
      </c>
      <c r="P25" s="2">
        <v>3</v>
      </c>
      <c r="Q25" s="2">
        <v>26</v>
      </c>
      <c r="R25" s="2">
        <v>9</v>
      </c>
    </row>
    <row r="26" spans="1:18" x14ac:dyDescent="0.25">
      <c r="A26" s="43"/>
      <c r="B26" s="3" t="s">
        <v>26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43" t="s">
        <v>35</v>
      </c>
      <c r="B27" s="3" t="s">
        <v>20</v>
      </c>
      <c r="C27" s="2">
        <v>922</v>
      </c>
      <c r="D27" s="2">
        <v>1376</v>
      </c>
      <c r="E27" s="2">
        <v>0</v>
      </c>
      <c r="F27" s="2">
        <v>156</v>
      </c>
      <c r="G27" s="2">
        <v>230</v>
      </c>
      <c r="H27" s="2">
        <v>637</v>
      </c>
      <c r="I27" s="2">
        <v>0</v>
      </c>
      <c r="J27" s="2">
        <v>21</v>
      </c>
      <c r="K27" s="2">
        <v>114</v>
      </c>
      <c r="L27" s="2">
        <v>289</v>
      </c>
      <c r="M27" s="2">
        <v>230</v>
      </c>
      <c r="N27" s="2">
        <v>669</v>
      </c>
      <c r="O27" s="2">
        <v>0</v>
      </c>
      <c r="P27" s="2">
        <v>22</v>
      </c>
      <c r="Q27" s="2">
        <v>288</v>
      </c>
      <c r="R27" s="2">
        <v>400</v>
      </c>
    </row>
    <row r="28" spans="1:18" x14ac:dyDescent="0.25">
      <c r="A28" s="43"/>
      <c r="B28" s="3" t="s">
        <v>26</v>
      </c>
      <c r="C28" s="2">
        <v>97</v>
      </c>
      <c r="D28" s="2">
        <v>104</v>
      </c>
      <c r="E28" s="2">
        <v>0</v>
      </c>
      <c r="F28" s="2">
        <v>46</v>
      </c>
      <c r="G28" s="2">
        <v>97</v>
      </c>
      <c r="H28" s="2">
        <v>74</v>
      </c>
      <c r="I28" s="2">
        <v>97</v>
      </c>
      <c r="J28" s="2">
        <v>5</v>
      </c>
      <c r="K28" s="2">
        <v>97</v>
      </c>
      <c r="L28" s="2">
        <v>58</v>
      </c>
      <c r="M28" s="2">
        <v>97</v>
      </c>
      <c r="N28" s="2">
        <v>61</v>
      </c>
      <c r="O28" s="2">
        <v>97</v>
      </c>
      <c r="P28" s="2">
        <v>10</v>
      </c>
      <c r="Q28" s="2">
        <v>97</v>
      </c>
      <c r="R28" s="2">
        <v>34</v>
      </c>
    </row>
    <row r="30" spans="1:18" x14ac:dyDescent="0.25">
      <c r="A30" s="1" t="s">
        <v>11103</v>
      </c>
      <c r="E30" s="14">
        <v>11</v>
      </c>
      <c r="F30" s="14">
        <v>8</v>
      </c>
    </row>
  </sheetData>
  <mergeCells count="21">
    <mergeCell ref="A17:A18"/>
    <mergeCell ref="A19:A20"/>
    <mergeCell ref="A23:A24"/>
    <mergeCell ref="A25:A26"/>
    <mergeCell ref="A27:A28"/>
    <mergeCell ref="A21:A22"/>
    <mergeCell ref="Q3:R3"/>
    <mergeCell ref="A5:A6"/>
    <mergeCell ref="A7:A8"/>
    <mergeCell ref="I3:J3"/>
    <mergeCell ref="K3:L3"/>
    <mergeCell ref="C3:D3"/>
    <mergeCell ref="E3:F3"/>
    <mergeCell ref="G3:H3"/>
    <mergeCell ref="M3:N3"/>
    <mergeCell ref="O3:P3"/>
    <mergeCell ref="A11:A12"/>
    <mergeCell ref="A13:A14"/>
    <mergeCell ref="A15:A16"/>
    <mergeCell ref="A9:A10"/>
    <mergeCell ref="A3:B4"/>
  </mergeCells>
  <pageMargins left="0.25" right="0.25" top="0.75" bottom="0.75" header="0.3" footer="0.3"/>
  <pageSetup paperSize="5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7"/>
  <sheetViews>
    <sheetView workbookViewId="0">
      <pane ySplit="1" topLeftCell="A2163" activePane="bottomLeft" state="frozen"/>
      <selection pane="bottomLeft" activeCell="C2191" sqref="C2191"/>
    </sheetView>
  </sheetViews>
  <sheetFormatPr defaultRowHeight="15" x14ac:dyDescent="0.25"/>
  <cols>
    <col min="1" max="2" width="13.7109375" customWidth="1"/>
    <col min="3" max="3" width="25.42578125" customWidth="1"/>
    <col min="4" max="4" width="13.7109375" customWidth="1"/>
    <col min="5" max="5" width="20.140625" customWidth="1"/>
    <col min="6" max="11" width="13.7109375" customWidth="1"/>
    <col min="12" max="12" width="29.7109375" customWidth="1"/>
    <col min="13" max="35" width="13.7109375" customWidth="1"/>
  </cols>
  <sheetData>
    <row r="1" spans="1:35" x14ac:dyDescent="0.25">
      <c r="A1" t="s">
        <v>40</v>
      </c>
      <c r="B1" t="s">
        <v>41</v>
      </c>
      <c r="C1" t="s">
        <v>37</v>
      </c>
      <c r="D1" t="s">
        <v>38</v>
      </c>
      <c r="E1" t="s">
        <v>39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26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25">
      <c r="A2" t="str">
        <f>"1255590915"</f>
        <v>1255590915</v>
      </c>
      <c r="B2" t="str">
        <f>"03383617"</f>
        <v>03383617</v>
      </c>
      <c r="C2" t="s">
        <v>3951</v>
      </c>
      <c r="D2" t="s">
        <v>2168</v>
      </c>
      <c r="E2" t="s">
        <v>2169</v>
      </c>
      <c r="G2" t="s">
        <v>3952</v>
      </c>
      <c r="H2" t="s">
        <v>3953</v>
      </c>
      <c r="J2" t="s">
        <v>3954</v>
      </c>
      <c r="L2" t="s">
        <v>71</v>
      </c>
      <c r="M2" t="s">
        <v>72</v>
      </c>
      <c r="R2" t="s">
        <v>2170</v>
      </c>
      <c r="W2" t="s">
        <v>2169</v>
      </c>
      <c r="X2" t="s">
        <v>250</v>
      </c>
      <c r="Y2" t="s">
        <v>217</v>
      </c>
      <c r="Z2" t="s">
        <v>73</v>
      </c>
      <c r="AA2" t="str">
        <f>"14760-1513"</f>
        <v>14760-1513</v>
      </c>
      <c r="AB2" t="s">
        <v>74</v>
      </c>
      <c r="AC2" t="s">
        <v>75</v>
      </c>
      <c r="AD2" t="s">
        <v>72</v>
      </c>
      <c r="AE2" t="s">
        <v>76</v>
      </c>
      <c r="AG2" t="s">
        <v>77</v>
      </c>
    </row>
    <row r="3" spans="1:35" x14ac:dyDescent="0.25">
      <c r="A3" t="str">
        <f>"1295709137"</f>
        <v>1295709137</v>
      </c>
      <c r="B3" t="str">
        <f>"01843067"</f>
        <v>01843067</v>
      </c>
      <c r="C3" t="s">
        <v>3955</v>
      </c>
      <c r="D3" t="s">
        <v>3956</v>
      </c>
      <c r="E3" t="s">
        <v>3957</v>
      </c>
      <c r="G3" t="s">
        <v>3958</v>
      </c>
      <c r="H3" t="s">
        <v>3959</v>
      </c>
      <c r="J3" t="s">
        <v>3960</v>
      </c>
      <c r="L3" t="s">
        <v>80</v>
      </c>
      <c r="M3" t="s">
        <v>72</v>
      </c>
      <c r="R3" t="s">
        <v>3957</v>
      </c>
      <c r="W3" t="s">
        <v>3957</v>
      </c>
      <c r="X3" t="s">
        <v>3957</v>
      </c>
      <c r="Y3" t="s">
        <v>1093</v>
      </c>
      <c r="Z3" t="s">
        <v>73</v>
      </c>
      <c r="AA3" t="str">
        <f>"14052-1717"</f>
        <v>14052-1717</v>
      </c>
      <c r="AB3" t="s">
        <v>74</v>
      </c>
      <c r="AC3" t="s">
        <v>75</v>
      </c>
      <c r="AD3" t="s">
        <v>72</v>
      </c>
      <c r="AE3" t="s">
        <v>76</v>
      </c>
      <c r="AF3" t="s">
        <v>3961</v>
      </c>
      <c r="AG3" t="s">
        <v>77</v>
      </c>
    </row>
    <row r="4" spans="1:35" x14ac:dyDescent="0.25">
      <c r="A4" t="str">
        <f>"1043276850"</f>
        <v>1043276850</v>
      </c>
      <c r="B4" t="str">
        <f>"01202262"</f>
        <v>01202262</v>
      </c>
      <c r="C4" t="s">
        <v>3962</v>
      </c>
      <c r="D4" t="s">
        <v>3079</v>
      </c>
      <c r="E4" t="s">
        <v>3080</v>
      </c>
      <c r="G4" t="s">
        <v>3963</v>
      </c>
      <c r="H4" t="s">
        <v>3964</v>
      </c>
      <c r="J4" t="s">
        <v>3965</v>
      </c>
      <c r="L4" t="s">
        <v>79</v>
      </c>
      <c r="M4" t="s">
        <v>72</v>
      </c>
      <c r="W4" t="s">
        <v>3080</v>
      </c>
      <c r="X4" t="s">
        <v>3082</v>
      </c>
      <c r="Y4" t="s">
        <v>221</v>
      </c>
      <c r="Z4" t="s">
        <v>73</v>
      </c>
      <c r="AA4" t="str">
        <f>"14221-5725"</f>
        <v>14221-5725</v>
      </c>
      <c r="AB4" t="s">
        <v>74</v>
      </c>
      <c r="AC4" t="s">
        <v>75</v>
      </c>
      <c r="AD4" t="s">
        <v>72</v>
      </c>
      <c r="AE4" t="s">
        <v>76</v>
      </c>
      <c r="AG4" t="s">
        <v>77</v>
      </c>
    </row>
    <row r="5" spans="1:35" x14ac:dyDescent="0.25">
      <c r="A5" t="str">
        <f>"1962628016"</f>
        <v>1962628016</v>
      </c>
      <c r="B5" t="str">
        <f>"02985055"</f>
        <v>02985055</v>
      </c>
      <c r="C5" t="s">
        <v>3966</v>
      </c>
      <c r="D5" t="s">
        <v>3967</v>
      </c>
      <c r="E5" t="s">
        <v>3968</v>
      </c>
      <c r="G5" t="s">
        <v>3969</v>
      </c>
      <c r="H5" t="s">
        <v>3970</v>
      </c>
      <c r="J5" t="s">
        <v>3971</v>
      </c>
      <c r="L5" t="s">
        <v>79</v>
      </c>
      <c r="M5" t="s">
        <v>72</v>
      </c>
      <c r="R5" t="s">
        <v>3972</v>
      </c>
      <c r="W5" t="s">
        <v>3973</v>
      </c>
      <c r="X5" t="s">
        <v>234</v>
      </c>
      <c r="Y5" t="s">
        <v>117</v>
      </c>
      <c r="Z5" t="s">
        <v>73</v>
      </c>
      <c r="AA5" t="str">
        <f>"14220-2039"</f>
        <v>14220-2039</v>
      </c>
      <c r="AB5" t="s">
        <v>74</v>
      </c>
      <c r="AC5" t="s">
        <v>75</v>
      </c>
      <c r="AD5" t="s">
        <v>72</v>
      </c>
      <c r="AE5" t="s">
        <v>76</v>
      </c>
      <c r="AF5" t="s">
        <v>3974</v>
      </c>
      <c r="AG5" t="s">
        <v>77</v>
      </c>
    </row>
    <row r="6" spans="1:35" x14ac:dyDescent="0.25">
      <c r="A6" t="str">
        <f>"1114921947"</f>
        <v>1114921947</v>
      </c>
      <c r="B6" t="str">
        <f>"01632562"</f>
        <v>01632562</v>
      </c>
      <c r="C6" t="s">
        <v>3975</v>
      </c>
      <c r="D6" t="s">
        <v>2932</v>
      </c>
      <c r="E6" t="s">
        <v>2933</v>
      </c>
      <c r="G6" t="s">
        <v>3976</v>
      </c>
      <c r="H6" t="s">
        <v>1372</v>
      </c>
      <c r="J6" t="s">
        <v>3977</v>
      </c>
      <c r="L6" t="s">
        <v>80</v>
      </c>
      <c r="M6" t="s">
        <v>72</v>
      </c>
      <c r="R6" t="s">
        <v>2934</v>
      </c>
      <c r="W6" t="s">
        <v>2933</v>
      </c>
      <c r="X6" t="s">
        <v>2284</v>
      </c>
      <c r="Y6" t="s">
        <v>851</v>
      </c>
      <c r="Z6" t="s">
        <v>73</v>
      </c>
      <c r="AA6" t="str">
        <f>"14047-9306"</f>
        <v>14047-9306</v>
      </c>
      <c r="AB6" t="s">
        <v>74</v>
      </c>
      <c r="AC6" t="s">
        <v>75</v>
      </c>
      <c r="AD6" t="s">
        <v>72</v>
      </c>
      <c r="AE6" t="s">
        <v>76</v>
      </c>
      <c r="AF6" t="s">
        <v>3961</v>
      </c>
      <c r="AG6" t="s">
        <v>77</v>
      </c>
    </row>
    <row r="7" spans="1:35" x14ac:dyDescent="0.25">
      <c r="A7" t="str">
        <f>"1043394745"</f>
        <v>1043394745</v>
      </c>
      <c r="B7" t="str">
        <f>"01746616"</f>
        <v>01746616</v>
      </c>
      <c r="C7" t="s">
        <v>3978</v>
      </c>
      <c r="D7" t="s">
        <v>3979</v>
      </c>
      <c r="E7" t="s">
        <v>3980</v>
      </c>
      <c r="G7" t="s">
        <v>3981</v>
      </c>
      <c r="H7" t="s">
        <v>3982</v>
      </c>
      <c r="J7" t="s">
        <v>3983</v>
      </c>
      <c r="L7" t="s">
        <v>256</v>
      </c>
      <c r="M7" t="s">
        <v>81</v>
      </c>
      <c r="R7" t="s">
        <v>3984</v>
      </c>
      <c r="W7" t="s">
        <v>3985</v>
      </c>
      <c r="X7" t="s">
        <v>187</v>
      </c>
      <c r="Y7" t="s">
        <v>188</v>
      </c>
      <c r="Z7" t="s">
        <v>73</v>
      </c>
      <c r="AA7" t="str">
        <f>"14092-1997"</f>
        <v>14092-1997</v>
      </c>
      <c r="AB7" t="s">
        <v>86</v>
      </c>
      <c r="AC7" t="s">
        <v>75</v>
      </c>
      <c r="AD7" t="s">
        <v>72</v>
      </c>
      <c r="AE7" t="s">
        <v>76</v>
      </c>
      <c r="AF7" t="s">
        <v>3986</v>
      </c>
      <c r="AG7" t="s">
        <v>77</v>
      </c>
    </row>
    <row r="8" spans="1:35" x14ac:dyDescent="0.25">
      <c r="A8" t="str">
        <f>"1972826816"</f>
        <v>1972826816</v>
      </c>
      <c r="B8" t="str">
        <f>"03322718"</f>
        <v>03322718</v>
      </c>
      <c r="C8" t="s">
        <v>3987</v>
      </c>
      <c r="D8" t="s">
        <v>1300</v>
      </c>
      <c r="E8" t="s">
        <v>1301</v>
      </c>
      <c r="G8" t="s">
        <v>3988</v>
      </c>
      <c r="H8" t="s">
        <v>1302</v>
      </c>
      <c r="J8" t="s">
        <v>3989</v>
      </c>
      <c r="L8" t="s">
        <v>79</v>
      </c>
      <c r="M8" t="s">
        <v>72</v>
      </c>
      <c r="R8" t="s">
        <v>1303</v>
      </c>
      <c r="W8" t="s">
        <v>1301</v>
      </c>
      <c r="X8" t="s">
        <v>1048</v>
      </c>
      <c r="Y8" t="s">
        <v>117</v>
      </c>
      <c r="Z8" t="s">
        <v>73</v>
      </c>
      <c r="AA8" t="str">
        <f>"14215-1433"</f>
        <v>14215-1433</v>
      </c>
      <c r="AB8" t="s">
        <v>74</v>
      </c>
      <c r="AC8" t="s">
        <v>75</v>
      </c>
      <c r="AD8" t="s">
        <v>72</v>
      </c>
      <c r="AE8" t="s">
        <v>76</v>
      </c>
      <c r="AF8" t="s">
        <v>3974</v>
      </c>
      <c r="AG8" t="s">
        <v>77</v>
      </c>
    </row>
    <row r="9" spans="1:35" x14ac:dyDescent="0.25">
      <c r="A9" t="str">
        <f>"1578586251"</f>
        <v>1578586251</v>
      </c>
      <c r="B9" t="str">
        <f>"03067172"</f>
        <v>03067172</v>
      </c>
      <c r="C9" t="s">
        <v>3990</v>
      </c>
      <c r="D9" t="s">
        <v>1133</v>
      </c>
      <c r="E9" t="s">
        <v>1134</v>
      </c>
      <c r="G9" t="s">
        <v>3991</v>
      </c>
      <c r="H9" t="s">
        <v>1104</v>
      </c>
      <c r="J9" t="s">
        <v>3992</v>
      </c>
      <c r="L9" t="s">
        <v>79</v>
      </c>
      <c r="M9" t="s">
        <v>72</v>
      </c>
      <c r="R9" t="s">
        <v>1135</v>
      </c>
      <c r="W9" t="s">
        <v>1134</v>
      </c>
      <c r="X9" t="s">
        <v>1136</v>
      </c>
      <c r="Y9" t="s">
        <v>117</v>
      </c>
      <c r="Z9" t="s">
        <v>73</v>
      </c>
      <c r="AA9" t="str">
        <f>"14215-1129"</f>
        <v>14215-1129</v>
      </c>
      <c r="AB9" t="s">
        <v>74</v>
      </c>
      <c r="AC9" t="s">
        <v>75</v>
      </c>
      <c r="AD9" t="s">
        <v>72</v>
      </c>
      <c r="AE9" t="s">
        <v>76</v>
      </c>
      <c r="AF9" t="s">
        <v>3974</v>
      </c>
      <c r="AG9" t="s">
        <v>77</v>
      </c>
    </row>
    <row r="10" spans="1:35" x14ac:dyDescent="0.25">
      <c r="A10" t="str">
        <f>"1790729820"</f>
        <v>1790729820</v>
      </c>
      <c r="B10" t="str">
        <f>"01805274"</f>
        <v>01805274</v>
      </c>
      <c r="C10" t="s">
        <v>3993</v>
      </c>
      <c r="D10" t="s">
        <v>3506</v>
      </c>
      <c r="E10" t="s">
        <v>3507</v>
      </c>
      <c r="G10" t="s">
        <v>3988</v>
      </c>
      <c r="H10" t="s">
        <v>1302</v>
      </c>
      <c r="J10" t="s">
        <v>3989</v>
      </c>
      <c r="L10" t="s">
        <v>79</v>
      </c>
      <c r="M10" t="s">
        <v>72</v>
      </c>
      <c r="R10" t="s">
        <v>3508</v>
      </c>
      <c r="W10" t="s">
        <v>3507</v>
      </c>
      <c r="X10" t="s">
        <v>3509</v>
      </c>
      <c r="Y10" t="s">
        <v>237</v>
      </c>
      <c r="Z10" t="s">
        <v>73</v>
      </c>
      <c r="AA10" t="str">
        <f>"14224-2646"</f>
        <v>14224-2646</v>
      </c>
      <c r="AB10" t="s">
        <v>74</v>
      </c>
      <c r="AC10" t="s">
        <v>75</v>
      </c>
      <c r="AD10" t="s">
        <v>72</v>
      </c>
      <c r="AE10" t="s">
        <v>76</v>
      </c>
      <c r="AF10" t="s">
        <v>3974</v>
      </c>
      <c r="AG10" t="s">
        <v>77</v>
      </c>
    </row>
    <row r="11" spans="1:35" x14ac:dyDescent="0.25">
      <c r="A11" t="str">
        <f>"1013936137"</f>
        <v>1013936137</v>
      </c>
      <c r="B11" t="str">
        <f>"02007743"</f>
        <v>02007743</v>
      </c>
      <c r="C11" t="s">
        <v>3994</v>
      </c>
      <c r="D11" t="s">
        <v>3995</v>
      </c>
      <c r="E11" t="s">
        <v>3996</v>
      </c>
      <c r="G11" t="s">
        <v>3997</v>
      </c>
      <c r="H11" t="s">
        <v>3998</v>
      </c>
      <c r="J11" t="s">
        <v>3999</v>
      </c>
      <c r="L11" t="s">
        <v>80</v>
      </c>
      <c r="M11" t="s">
        <v>81</v>
      </c>
      <c r="R11" t="s">
        <v>4000</v>
      </c>
      <c r="W11" t="s">
        <v>4000</v>
      </c>
      <c r="X11" t="s">
        <v>4001</v>
      </c>
      <c r="Y11" t="s">
        <v>365</v>
      </c>
      <c r="Z11" t="s">
        <v>73</v>
      </c>
      <c r="AA11" t="str">
        <f>"14150-6618"</f>
        <v>14150-6618</v>
      </c>
      <c r="AB11" t="s">
        <v>74</v>
      </c>
      <c r="AC11" t="s">
        <v>75</v>
      </c>
      <c r="AD11" t="s">
        <v>72</v>
      </c>
      <c r="AE11" t="s">
        <v>76</v>
      </c>
      <c r="AF11" t="s">
        <v>3961</v>
      </c>
      <c r="AG11" t="s">
        <v>77</v>
      </c>
    </row>
    <row r="12" spans="1:35" x14ac:dyDescent="0.25">
      <c r="A12" t="str">
        <f>"1811926124"</f>
        <v>1811926124</v>
      </c>
      <c r="B12" t="str">
        <f>"00959462"</f>
        <v>00959462</v>
      </c>
      <c r="C12" t="s">
        <v>4002</v>
      </c>
      <c r="D12" t="s">
        <v>1731</v>
      </c>
      <c r="E12" t="s">
        <v>1732</v>
      </c>
      <c r="G12" t="s">
        <v>4003</v>
      </c>
      <c r="H12" t="s">
        <v>1733</v>
      </c>
      <c r="J12" t="s">
        <v>4004</v>
      </c>
      <c r="L12" t="s">
        <v>80</v>
      </c>
      <c r="M12" t="s">
        <v>72</v>
      </c>
      <c r="R12" t="s">
        <v>1734</v>
      </c>
      <c r="W12" t="s">
        <v>1732</v>
      </c>
      <c r="X12" t="s">
        <v>1048</v>
      </c>
      <c r="Y12" t="s">
        <v>117</v>
      </c>
      <c r="Z12" t="s">
        <v>73</v>
      </c>
      <c r="AA12" t="str">
        <f>"14215-1433"</f>
        <v>14215-1433</v>
      </c>
      <c r="AB12" t="s">
        <v>74</v>
      </c>
      <c r="AC12" t="s">
        <v>75</v>
      </c>
      <c r="AD12" t="s">
        <v>72</v>
      </c>
      <c r="AE12" t="s">
        <v>76</v>
      </c>
      <c r="AF12" t="s">
        <v>3961</v>
      </c>
      <c r="AG12" t="s">
        <v>77</v>
      </c>
    </row>
    <row r="13" spans="1:35" x14ac:dyDescent="0.25">
      <c r="A13" t="str">
        <f>"1174586614"</f>
        <v>1174586614</v>
      </c>
      <c r="B13" t="str">
        <f>"00678340"</f>
        <v>00678340</v>
      </c>
      <c r="C13" t="s">
        <v>4005</v>
      </c>
      <c r="D13" t="s">
        <v>4006</v>
      </c>
      <c r="E13" t="s">
        <v>4007</v>
      </c>
      <c r="G13" t="s">
        <v>4008</v>
      </c>
      <c r="H13" t="s">
        <v>4009</v>
      </c>
      <c r="J13" t="s">
        <v>4010</v>
      </c>
      <c r="L13" t="s">
        <v>79</v>
      </c>
      <c r="M13" t="s">
        <v>72</v>
      </c>
      <c r="R13" t="s">
        <v>4011</v>
      </c>
      <c r="W13" t="s">
        <v>4007</v>
      </c>
      <c r="X13" t="s">
        <v>4012</v>
      </c>
      <c r="Y13" t="s">
        <v>117</v>
      </c>
      <c r="Z13" t="s">
        <v>73</v>
      </c>
      <c r="AA13" t="str">
        <f>"14214"</f>
        <v>14214</v>
      </c>
      <c r="AB13" t="s">
        <v>74</v>
      </c>
      <c r="AC13" t="s">
        <v>75</v>
      </c>
      <c r="AD13" t="s">
        <v>72</v>
      </c>
      <c r="AE13" t="s">
        <v>76</v>
      </c>
      <c r="AF13" t="s">
        <v>3974</v>
      </c>
      <c r="AG13" t="s">
        <v>77</v>
      </c>
    </row>
    <row r="14" spans="1:35" x14ac:dyDescent="0.25">
      <c r="A14" t="str">
        <f>"1609066224"</f>
        <v>1609066224</v>
      </c>
      <c r="B14" t="str">
        <f>"02918812"</f>
        <v>02918812</v>
      </c>
      <c r="C14" t="s">
        <v>4013</v>
      </c>
      <c r="D14" t="s">
        <v>1430</v>
      </c>
      <c r="E14" t="s">
        <v>1431</v>
      </c>
      <c r="G14" t="s">
        <v>4014</v>
      </c>
      <c r="H14" t="s">
        <v>750</v>
      </c>
      <c r="J14" t="s">
        <v>4015</v>
      </c>
      <c r="L14" t="s">
        <v>79</v>
      </c>
      <c r="M14" t="s">
        <v>72</v>
      </c>
      <c r="R14" t="s">
        <v>1431</v>
      </c>
      <c r="W14" t="s">
        <v>1432</v>
      </c>
      <c r="X14" t="s">
        <v>752</v>
      </c>
      <c r="Y14" t="s">
        <v>221</v>
      </c>
      <c r="Z14" t="s">
        <v>73</v>
      </c>
      <c r="AA14" t="str">
        <f>"14221-2917"</f>
        <v>14221-2917</v>
      </c>
      <c r="AB14" t="s">
        <v>74</v>
      </c>
      <c r="AC14" t="s">
        <v>75</v>
      </c>
      <c r="AD14" t="s">
        <v>72</v>
      </c>
      <c r="AE14" t="s">
        <v>76</v>
      </c>
      <c r="AF14" t="s">
        <v>3974</v>
      </c>
      <c r="AG14" t="s">
        <v>77</v>
      </c>
    </row>
    <row r="15" spans="1:35" x14ac:dyDescent="0.25">
      <c r="A15" t="str">
        <f>"1669438446"</f>
        <v>1669438446</v>
      </c>
      <c r="B15" t="str">
        <f>"02185977"</f>
        <v>02185977</v>
      </c>
      <c r="C15" t="s">
        <v>4016</v>
      </c>
      <c r="D15" t="s">
        <v>2784</v>
      </c>
      <c r="E15" t="s">
        <v>2785</v>
      </c>
      <c r="G15" t="s">
        <v>4017</v>
      </c>
      <c r="H15" t="s">
        <v>597</v>
      </c>
      <c r="J15" t="s">
        <v>4018</v>
      </c>
      <c r="L15" t="s">
        <v>79</v>
      </c>
      <c r="M15" t="s">
        <v>72</v>
      </c>
      <c r="R15" t="s">
        <v>2786</v>
      </c>
      <c r="W15" t="s">
        <v>2785</v>
      </c>
      <c r="X15" t="s">
        <v>173</v>
      </c>
      <c r="Y15" t="s">
        <v>117</v>
      </c>
      <c r="Z15" t="s">
        <v>73</v>
      </c>
      <c r="AA15" t="str">
        <f>"14222-2006"</f>
        <v>14222-2006</v>
      </c>
      <c r="AB15" t="s">
        <v>74</v>
      </c>
      <c r="AC15" t="s">
        <v>75</v>
      </c>
      <c r="AD15" t="s">
        <v>72</v>
      </c>
      <c r="AE15" t="s">
        <v>76</v>
      </c>
      <c r="AF15" t="s">
        <v>3974</v>
      </c>
      <c r="AG15" t="s">
        <v>77</v>
      </c>
    </row>
    <row r="16" spans="1:35" x14ac:dyDescent="0.25">
      <c r="A16" t="str">
        <f>"1417276726"</f>
        <v>1417276726</v>
      </c>
      <c r="B16" t="str">
        <f>"03582143"</f>
        <v>03582143</v>
      </c>
      <c r="C16" t="s">
        <v>4019</v>
      </c>
      <c r="D16" t="s">
        <v>4020</v>
      </c>
      <c r="E16" t="s">
        <v>4021</v>
      </c>
      <c r="G16" t="s">
        <v>4019</v>
      </c>
      <c r="H16" t="s">
        <v>4022</v>
      </c>
      <c r="L16" t="s">
        <v>80</v>
      </c>
      <c r="M16" t="s">
        <v>72</v>
      </c>
      <c r="R16" t="s">
        <v>4023</v>
      </c>
      <c r="W16" t="s">
        <v>4021</v>
      </c>
      <c r="X16" t="s">
        <v>4024</v>
      </c>
      <c r="Y16" t="s">
        <v>117</v>
      </c>
      <c r="Z16" t="s">
        <v>73</v>
      </c>
      <c r="AA16" t="str">
        <f>"14208-1114"</f>
        <v>14208-1114</v>
      </c>
      <c r="AB16" t="s">
        <v>74</v>
      </c>
      <c r="AC16" t="s">
        <v>75</v>
      </c>
      <c r="AD16" t="s">
        <v>72</v>
      </c>
      <c r="AE16" t="s">
        <v>76</v>
      </c>
      <c r="AF16" t="s">
        <v>3974</v>
      </c>
      <c r="AG16" t="s">
        <v>77</v>
      </c>
    </row>
    <row r="17" spans="1:33" x14ac:dyDescent="0.25">
      <c r="A17" t="str">
        <f>"1003892134"</f>
        <v>1003892134</v>
      </c>
      <c r="B17" t="str">
        <f>"02087290"</f>
        <v>02087290</v>
      </c>
      <c r="C17" t="s">
        <v>4025</v>
      </c>
      <c r="D17" t="s">
        <v>297</v>
      </c>
      <c r="E17" t="s">
        <v>298</v>
      </c>
      <c r="G17" t="s">
        <v>4026</v>
      </c>
      <c r="H17" t="s">
        <v>753</v>
      </c>
      <c r="J17" t="s">
        <v>4027</v>
      </c>
      <c r="L17" t="s">
        <v>71</v>
      </c>
      <c r="M17" t="s">
        <v>72</v>
      </c>
      <c r="R17" t="s">
        <v>299</v>
      </c>
      <c r="W17" t="s">
        <v>298</v>
      </c>
      <c r="X17" t="s">
        <v>300</v>
      </c>
      <c r="Y17" t="s">
        <v>221</v>
      </c>
      <c r="Z17" t="s">
        <v>73</v>
      </c>
      <c r="AA17" t="str">
        <f>"14221-5329"</f>
        <v>14221-5329</v>
      </c>
      <c r="AB17" t="s">
        <v>74</v>
      </c>
      <c r="AC17" t="s">
        <v>75</v>
      </c>
      <c r="AD17" t="s">
        <v>72</v>
      </c>
      <c r="AE17" t="s">
        <v>76</v>
      </c>
      <c r="AF17" t="s">
        <v>3974</v>
      </c>
      <c r="AG17" t="s">
        <v>77</v>
      </c>
    </row>
    <row r="18" spans="1:33" x14ac:dyDescent="0.25">
      <c r="A18" t="str">
        <f>"1932137122"</f>
        <v>1932137122</v>
      </c>
      <c r="B18" t="str">
        <f>"01357060"</f>
        <v>01357060</v>
      </c>
      <c r="C18" t="s">
        <v>4028</v>
      </c>
      <c r="D18" t="s">
        <v>3429</v>
      </c>
      <c r="E18" t="s">
        <v>3430</v>
      </c>
      <c r="G18" t="s">
        <v>4003</v>
      </c>
      <c r="H18" t="s">
        <v>1733</v>
      </c>
      <c r="J18" t="s">
        <v>4004</v>
      </c>
      <c r="L18" t="s">
        <v>80</v>
      </c>
      <c r="M18" t="s">
        <v>72</v>
      </c>
      <c r="R18" t="s">
        <v>3431</v>
      </c>
      <c r="W18" t="s">
        <v>3430</v>
      </c>
      <c r="X18" t="s">
        <v>2702</v>
      </c>
      <c r="Y18" t="s">
        <v>117</v>
      </c>
      <c r="Z18" t="s">
        <v>73</v>
      </c>
      <c r="AA18" t="str">
        <f>"14215-1433"</f>
        <v>14215-1433</v>
      </c>
      <c r="AB18" t="s">
        <v>74</v>
      </c>
      <c r="AC18" t="s">
        <v>75</v>
      </c>
      <c r="AD18" t="s">
        <v>72</v>
      </c>
      <c r="AE18" t="s">
        <v>76</v>
      </c>
      <c r="AF18" t="s">
        <v>3961</v>
      </c>
      <c r="AG18" t="s">
        <v>77</v>
      </c>
    </row>
    <row r="19" spans="1:33" x14ac:dyDescent="0.25">
      <c r="A19" t="str">
        <f>"1407897333"</f>
        <v>1407897333</v>
      </c>
      <c r="B19" t="str">
        <f>"01065374"</f>
        <v>01065374</v>
      </c>
      <c r="C19" t="s">
        <v>4029</v>
      </c>
      <c r="D19" t="s">
        <v>4030</v>
      </c>
      <c r="E19" t="s">
        <v>4031</v>
      </c>
      <c r="G19" t="s">
        <v>4032</v>
      </c>
      <c r="H19" t="s">
        <v>4033</v>
      </c>
      <c r="J19" t="s">
        <v>4034</v>
      </c>
      <c r="L19" t="s">
        <v>79</v>
      </c>
      <c r="M19" t="s">
        <v>72</v>
      </c>
      <c r="R19" t="s">
        <v>4035</v>
      </c>
      <c r="W19" t="s">
        <v>4036</v>
      </c>
      <c r="X19" t="s">
        <v>3271</v>
      </c>
      <c r="Y19" t="s">
        <v>237</v>
      </c>
      <c r="Z19" t="s">
        <v>73</v>
      </c>
      <c r="AA19" t="str">
        <f>"14224-3352"</f>
        <v>14224-3352</v>
      </c>
      <c r="AB19" t="s">
        <v>74</v>
      </c>
      <c r="AC19" t="s">
        <v>75</v>
      </c>
      <c r="AD19" t="s">
        <v>72</v>
      </c>
      <c r="AE19" t="s">
        <v>76</v>
      </c>
      <c r="AF19" t="s">
        <v>3974</v>
      </c>
      <c r="AG19" t="s">
        <v>77</v>
      </c>
    </row>
    <row r="20" spans="1:33" x14ac:dyDescent="0.25">
      <c r="A20" t="str">
        <f>"1285633032"</f>
        <v>1285633032</v>
      </c>
      <c r="B20" t="str">
        <f>"00958970"</f>
        <v>00958970</v>
      </c>
      <c r="C20" t="s">
        <v>4037</v>
      </c>
      <c r="D20" t="s">
        <v>2099</v>
      </c>
      <c r="E20" t="s">
        <v>2100</v>
      </c>
      <c r="G20" t="s">
        <v>4038</v>
      </c>
      <c r="H20" t="s">
        <v>2101</v>
      </c>
      <c r="J20" t="s">
        <v>4039</v>
      </c>
      <c r="L20" t="s">
        <v>80</v>
      </c>
      <c r="M20" t="s">
        <v>72</v>
      </c>
      <c r="R20" t="s">
        <v>2102</v>
      </c>
      <c r="W20" t="s">
        <v>2100</v>
      </c>
      <c r="X20" t="s">
        <v>2103</v>
      </c>
      <c r="Y20" t="s">
        <v>209</v>
      </c>
      <c r="Z20" t="s">
        <v>73</v>
      </c>
      <c r="AA20" t="str">
        <f>"14301-1841"</f>
        <v>14301-1841</v>
      </c>
      <c r="AB20" t="s">
        <v>74</v>
      </c>
      <c r="AC20" t="s">
        <v>75</v>
      </c>
      <c r="AD20" t="s">
        <v>72</v>
      </c>
      <c r="AE20" t="s">
        <v>76</v>
      </c>
      <c r="AF20" t="s">
        <v>3974</v>
      </c>
      <c r="AG20" t="s">
        <v>77</v>
      </c>
    </row>
    <row r="21" spans="1:33" x14ac:dyDescent="0.25">
      <c r="A21" t="str">
        <f>"1184637894"</f>
        <v>1184637894</v>
      </c>
      <c r="B21" t="str">
        <f>"00616073"</f>
        <v>00616073</v>
      </c>
      <c r="C21" t="s">
        <v>4040</v>
      </c>
      <c r="D21" t="s">
        <v>3126</v>
      </c>
      <c r="E21" t="s">
        <v>3127</v>
      </c>
      <c r="G21" t="s">
        <v>4041</v>
      </c>
      <c r="H21" t="s">
        <v>3128</v>
      </c>
      <c r="J21" t="s">
        <v>4042</v>
      </c>
      <c r="L21" t="s">
        <v>79</v>
      </c>
      <c r="M21" t="s">
        <v>72</v>
      </c>
      <c r="R21" t="s">
        <v>3129</v>
      </c>
      <c r="W21" t="s">
        <v>3127</v>
      </c>
      <c r="X21" t="s">
        <v>2233</v>
      </c>
      <c r="Y21" t="s">
        <v>228</v>
      </c>
      <c r="Z21" t="s">
        <v>73</v>
      </c>
      <c r="AA21" t="str">
        <f>"14226-1855"</f>
        <v>14226-1855</v>
      </c>
      <c r="AB21" t="s">
        <v>74</v>
      </c>
      <c r="AC21" t="s">
        <v>75</v>
      </c>
      <c r="AD21" t="s">
        <v>72</v>
      </c>
      <c r="AE21" t="s">
        <v>76</v>
      </c>
      <c r="AF21" t="s">
        <v>4043</v>
      </c>
      <c r="AG21" t="s">
        <v>77</v>
      </c>
    </row>
    <row r="22" spans="1:33" x14ac:dyDescent="0.25">
      <c r="A22" t="str">
        <f>"1669421970"</f>
        <v>1669421970</v>
      </c>
      <c r="B22" t="str">
        <f>"01479309"</f>
        <v>01479309</v>
      </c>
      <c r="C22" t="s">
        <v>4044</v>
      </c>
      <c r="D22" t="s">
        <v>2781</v>
      </c>
      <c r="E22" t="s">
        <v>2782</v>
      </c>
      <c r="G22" t="s">
        <v>4044</v>
      </c>
      <c r="H22" t="s">
        <v>1131</v>
      </c>
      <c r="J22" t="s">
        <v>4045</v>
      </c>
      <c r="L22" t="s">
        <v>79</v>
      </c>
      <c r="M22" t="s">
        <v>72</v>
      </c>
      <c r="R22" t="s">
        <v>2783</v>
      </c>
      <c r="W22" t="s">
        <v>2782</v>
      </c>
      <c r="X22" t="s">
        <v>219</v>
      </c>
      <c r="Y22" t="s">
        <v>117</v>
      </c>
      <c r="Z22" t="s">
        <v>73</v>
      </c>
      <c r="AA22" t="str">
        <f>"14203-1149"</f>
        <v>14203-1149</v>
      </c>
      <c r="AB22" t="s">
        <v>74</v>
      </c>
      <c r="AC22" t="s">
        <v>75</v>
      </c>
      <c r="AD22" t="s">
        <v>72</v>
      </c>
      <c r="AE22" t="s">
        <v>76</v>
      </c>
      <c r="AG22" t="s">
        <v>77</v>
      </c>
    </row>
    <row r="23" spans="1:33" x14ac:dyDescent="0.25">
      <c r="A23" t="str">
        <f>"1093780025"</f>
        <v>1093780025</v>
      </c>
      <c r="B23" t="str">
        <f>"02153579"</f>
        <v>02153579</v>
      </c>
      <c r="C23" t="s">
        <v>4046</v>
      </c>
      <c r="D23" t="s">
        <v>2558</v>
      </c>
      <c r="E23" t="s">
        <v>2559</v>
      </c>
      <c r="G23" t="s">
        <v>4047</v>
      </c>
      <c r="H23" t="s">
        <v>634</v>
      </c>
      <c r="J23" t="s">
        <v>4048</v>
      </c>
      <c r="L23" t="s">
        <v>79</v>
      </c>
      <c r="M23" t="s">
        <v>72</v>
      </c>
      <c r="R23" t="s">
        <v>2560</v>
      </c>
      <c r="W23" t="s">
        <v>2559</v>
      </c>
      <c r="X23" t="s">
        <v>2561</v>
      </c>
      <c r="Y23" t="s">
        <v>2562</v>
      </c>
      <c r="Z23" t="s">
        <v>73</v>
      </c>
      <c r="AA23" t="str">
        <f>"14716-9749"</f>
        <v>14716-9749</v>
      </c>
      <c r="AB23" t="s">
        <v>74</v>
      </c>
      <c r="AC23" t="s">
        <v>75</v>
      </c>
      <c r="AD23" t="s">
        <v>72</v>
      </c>
      <c r="AE23" t="s">
        <v>76</v>
      </c>
      <c r="AF23" t="s">
        <v>4049</v>
      </c>
      <c r="AG23" t="s">
        <v>77</v>
      </c>
    </row>
    <row r="24" spans="1:33" x14ac:dyDescent="0.25">
      <c r="A24" t="str">
        <f>"1396991923"</f>
        <v>1396991923</v>
      </c>
      <c r="B24" t="str">
        <f>"03264642"</f>
        <v>03264642</v>
      </c>
      <c r="C24" t="s">
        <v>4050</v>
      </c>
      <c r="D24" t="s">
        <v>4051</v>
      </c>
      <c r="E24" t="s">
        <v>4052</v>
      </c>
      <c r="G24" t="s">
        <v>3969</v>
      </c>
      <c r="H24" t="s">
        <v>3970</v>
      </c>
      <c r="J24" t="s">
        <v>3971</v>
      </c>
      <c r="L24" t="s">
        <v>79</v>
      </c>
      <c r="M24" t="s">
        <v>72</v>
      </c>
      <c r="R24" t="s">
        <v>4053</v>
      </c>
      <c r="W24" t="s">
        <v>4052</v>
      </c>
      <c r="X24" t="s">
        <v>234</v>
      </c>
      <c r="Y24" t="s">
        <v>117</v>
      </c>
      <c r="Z24" t="s">
        <v>73</v>
      </c>
      <c r="AA24" t="str">
        <f>"14220-2039"</f>
        <v>14220-2039</v>
      </c>
      <c r="AB24" t="s">
        <v>74</v>
      </c>
      <c r="AC24" t="s">
        <v>75</v>
      </c>
      <c r="AD24" t="s">
        <v>72</v>
      </c>
      <c r="AE24" t="s">
        <v>76</v>
      </c>
      <c r="AF24" t="s">
        <v>3974</v>
      </c>
      <c r="AG24" t="s">
        <v>77</v>
      </c>
    </row>
    <row r="25" spans="1:33" x14ac:dyDescent="0.25">
      <c r="C25" t="s">
        <v>4054</v>
      </c>
      <c r="G25" t="s">
        <v>4055</v>
      </c>
      <c r="H25" t="s">
        <v>4056</v>
      </c>
      <c r="J25" t="s">
        <v>4057</v>
      </c>
      <c r="K25" t="s">
        <v>89</v>
      </c>
      <c r="L25" t="s">
        <v>90</v>
      </c>
      <c r="M25" t="s">
        <v>72</v>
      </c>
      <c r="N25" t="s">
        <v>4058</v>
      </c>
      <c r="O25" t="s">
        <v>505</v>
      </c>
      <c r="P25" t="s">
        <v>73</v>
      </c>
      <c r="Q25" t="str">
        <f>"14450"</f>
        <v>14450</v>
      </c>
      <c r="AC25" t="s">
        <v>75</v>
      </c>
      <c r="AD25" t="s">
        <v>72</v>
      </c>
      <c r="AE25" t="s">
        <v>91</v>
      </c>
      <c r="AF25" t="s">
        <v>4059</v>
      </c>
      <c r="AG25" t="s">
        <v>77</v>
      </c>
    </row>
    <row r="26" spans="1:33" x14ac:dyDescent="0.25">
      <c r="A26" t="str">
        <f>"1487605333"</f>
        <v>1487605333</v>
      </c>
      <c r="B26" t="str">
        <f>"02752207"</f>
        <v>02752207</v>
      </c>
      <c r="C26" t="s">
        <v>4060</v>
      </c>
      <c r="D26" t="s">
        <v>1421</v>
      </c>
      <c r="E26" t="s">
        <v>1422</v>
      </c>
      <c r="G26" t="s">
        <v>4061</v>
      </c>
      <c r="H26" t="s">
        <v>3105</v>
      </c>
      <c r="J26" t="s">
        <v>4062</v>
      </c>
      <c r="L26" t="s">
        <v>96</v>
      </c>
      <c r="M26" t="s">
        <v>72</v>
      </c>
      <c r="R26" t="s">
        <v>1423</v>
      </c>
      <c r="W26" t="s">
        <v>1422</v>
      </c>
      <c r="X26" t="s">
        <v>1424</v>
      </c>
      <c r="Y26" t="s">
        <v>228</v>
      </c>
      <c r="Z26" t="s">
        <v>73</v>
      </c>
      <c r="AA26" t="str">
        <f>"14228-1300"</f>
        <v>14228-1300</v>
      </c>
      <c r="AB26" t="s">
        <v>74</v>
      </c>
      <c r="AC26" t="s">
        <v>75</v>
      </c>
      <c r="AD26" t="s">
        <v>72</v>
      </c>
      <c r="AE26" t="s">
        <v>76</v>
      </c>
      <c r="AF26" t="s">
        <v>3974</v>
      </c>
      <c r="AG26" t="s">
        <v>77</v>
      </c>
    </row>
    <row r="27" spans="1:33" x14ac:dyDescent="0.25">
      <c r="A27" t="str">
        <f>"1578736336"</f>
        <v>1578736336</v>
      </c>
      <c r="B27" t="str">
        <f>"03155433"</f>
        <v>03155433</v>
      </c>
      <c r="C27" t="s">
        <v>4063</v>
      </c>
      <c r="D27" t="s">
        <v>4064</v>
      </c>
      <c r="E27" t="s">
        <v>4065</v>
      </c>
      <c r="G27" t="s">
        <v>4066</v>
      </c>
      <c r="H27" t="s">
        <v>4067</v>
      </c>
      <c r="J27" t="s">
        <v>4068</v>
      </c>
      <c r="L27" t="s">
        <v>71</v>
      </c>
      <c r="M27" t="s">
        <v>72</v>
      </c>
      <c r="R27" t="s">
        <v>4069</v>
      </c>
      <c r="W27" t="s">
        <v>4065</v>
      </c>
      <c r="X27" t="s">
        <v>234</v>
      </c>
      <c r="Y27" t="s">
        <v>117</v>
      </c>
      <c r="Z27" t="s">
        <v>73</v>
      </c>
      <c r="AA27" t="str">
        <f>"14220-2039"</f>
        <v>14220-2039</v>
      </c>
      <c r="AB27" t="s">
        <v>74</v>
      </c>
      <c r="AC27" t="s">
        <v>75</v>
      </c>
      <c r="AD27" t="s">
        <v>72</v>
      </c>
      <c r="AE27" t="s">
        <v>76</v>
      </c>
      <c r="AF27" t="s">
        <v>3974</v>
      </c>
      <c r="AG27" t="s">
        <v>77</v>
      </c>
    </row>
    <row r="28" spans="1:33" x14ac:dyDescent="0.25">
      <c r="A28" t="str">
        <f>"1104010347"</f>
        <v>1104010347</v>
      </c>
      <c r="B28" t="str">
        <f>"00353553"</f>
        <v>00353553</v>
      </c>
      <c r="C28" t="s">
        <v>4070</v>
      </c>
      <c r="D28" t="s">
        <v>1814</v>
      </c>
      <c r="E28" t="s">
        <v>1815</v>
      </c>
      <c r="G28" t="s">
        <v>4071</v>
      </c>
      <c r="H28" t="s">
        <v>4072</v>
      </c>
      <c r="J28" t="s">
        <v>4073</v>
      </c>
      <c r="L28" t="s">
        <v>92</v>
      </c>
      <c r="M28" t="s">
        <v>81</v>
      </c>
      <c r="R28" t="s">
        <v>1813</v>
      </c>
      <c r="W28" t="s">
        <v>1815</v>
      </c>
      <c r="X28" t="s">
        <v>1816</v>
      </c>
      <c r="Y28" t="s">
        <v>1467</v>
      </c>
      <c r="Z28" t="s">
        <v>73</v>
      </c>
      <c r="AA28" t="str">
        <f>"14772-9696"</f>
        <v>14772-9696</v>
      </c>
      <c r="AB28" t="s">
        <v>116</v>
      </c>
      <c r="AC28" t="s">
        <v>75</v>
      </c>
      <c r="AD28" t="s">
        <v>72</v>
      </c>
      <c r="AE28" t="s">
        <v>76</v>
      </c>
      <c r="AF28" t="s">
        <v>4059</v>
      </c>
      <c r="AG28" t="s">
        <v>77</v>
      </c>
    </row>
    <row r="29" spans="1:33" x14ac:dyDescent="0.25">
      <c r="A29" t="str">
        <f>"1417292020"</f>
        <v>1417292020</v>
      </c>
      <c r="B29" t="str">
        <f>"03575940"</f>
        <v>03575940</v>
      </c>
      <c r="C29" t="s">
        <v>4074</v>
      </c>
      <c r="D29" t="s">
        <v>1594</v>
      </c>
      <c r="E29" t="s">
        <v>1595</v>
      </c>
      <c r="G29" t="s">
        <v>4075</v>
      </c>
      <c r="H29" t="s">
        <v>4076</v>
      </c>
      <c r="J29" t="s">
        <v>4077</v>
      </c>
      <c r="L29" t="s">
        <v>35</v>
      </c>
      <c r="M29" t="s">
        <v>72</v>
      </c>
      <c r="R29" t="s">
        <v>1593</v>
      </c>
      <c r="W29" t="s">
        <v>1595</v>
      </c>
      <c r="X29" t="s">
        <v>1596</v>
      </c>
      <c r="Y29" t="s">
        <v>240</v>
      </c>
      <c r="Z29" t="s">
        <v>73</v>
      </c>
      <c r="AA29" t="str">
        <f>"14094-1854"</f>
        <v>14094-1854</v>
      </c>
      <c r="AB29" t="s">
        <v>109</v>
      </c>
      <c r="AC29" t="s">
        <v>75</v>
      </c>
      <c r="AD29" t="s">
        <v>72</v>
      </c>
      <c r="AE29" t="s">
        <v>76</v>
      </c>
      <c r="AF29" t="s">
        <v>4078</v>
      </c>
      <c r="AG29" t="s">
        <v>77</v>
      </c>
    </row>
    <row r="30" spans="1:33" x14ac:dyDescent="0.25">
      <c r="A30" t="str">
        <f>"1285774083"</f>
        <v>1285774083</v>
      </c>
      <c r="B30" t="str">
        <f>"00820457"</f>
        <v>00820457</v>
      </c>
      <c r="C30" t="s">
        <v>3576</v>
      </c>
      <c r="D30" t="s">
        <v>4079</v>
      </c>
      <c r="E30" t="s">
        <v>4080</v>
      </c>
      <c r="G30" t="s">
        <v>4081</v>
      </c>
      <c r="H30" t="s">
        <v>2108</v>
      </c>
      <c r="J30" t="s">
        <v>4082</v>
      </c>
      <c r="L30" t="s">
        <v>92</v>
      </c>
      <c r="M30" t="s">
        <v>72</v>
      </c>
      <c r="R30" t="s">
        <v>4083</v>
      </c>
      <c r="W30" t="s">
        <v>4084</v>
      </c>
      <c r="X30" t="s">
        <v>4085</v>
      </c>
      <c r="Y30" t="s">
        <v>209</v>
      </c>
      <c r="Z30" t="s">
        <v>73</v>
      </c>
      <c r="AA30" t="str">
        <f>"14301-1201"</f>
        <v>14301-1201</v>
      </c>
      <c r="AB30" t="s">
        <v>109</v>
      </c>
      <c r="AC30" t="s">
        <v>75</v>
      </c>
      <c r="AD30" t="s">
        <v>72</v>
      </c>
      <c r="AE30" t="s">
        <v>76</v>
      </c>
      <c r="AF30" t="s">
        <v>4078</v>
      </c>
      <c r="AG30" t="s">
        <v>77</v>
      </c>
    </row>
    <row r="31" spans="1:33" x14ac:dyDescent="0.25">
      <c r="A31" t="str">
        <f>"1295729416"</f>
        <v>1295729416</v>
      </c>
      <c r="B31" t="str">
        <f>"01878546"</f>
        <v>01878546</v>
      </c>
      <c r="C31" t="s">
        <v>4086</v>
      </c>
      <c r="D31" t="s">
        <v>4087</v>
      </c>
      <c r="E31" t="s">
        <v>4088</v>
      </c>
      <c r="L31" t="s">
        <v>79</v>
      </c>
      <c r="M31" t="s">
        <v>72</v>
      </c>
      <c r="R31" t="s">
        <v>4088</v>
      </c>
      <c r="W31" t="s">
        <v>4088</v>
      </c>
      <c r="X31" t="s">
        <v>4089</v>
      </c>
      <c r="Y31" t="s">
        <v>863</v>
      </c>
      <c r="Z31" t="s">
        <v>73</v>
      </c>
      <c r="AA31" t="str">
        <f>"14068-1291"</f>
        <v>14068-1291</v>
      </c>
      <c r="AB31" t="s">
        <v>74</v>
      </c>
      <c r="AC31" t="s">
        <v>75</v>
      </c>
      <c r="AD31" t="s">
        <v>72</v>
      </c>
      <c r="AE31" t="s">
        <v>76</v>
      </c>
      <c r="AF31" t="s">
        <v>3974</v>
      </c>
      <c r="AG31" t="s">
        <v>77</v>
      </c>
    </row>
    <row r="32" spans="1:33" x14ac:dyDescent="0.25">
      <c r="A32" t="str">
        <f>"1881884526"</f>
        <v>1881884526</v>
      </c>
      <c r="B32" t="str">
        <f>"03109428"</f>
        <v>03109428</v>
      </c>
      <c r="C32" t="s">
        <v>4090</v>
      </c>
      <c r="D32" t="s">
        <v>4091</v>
      </c>
      <c r="E32" t="s">
        <v>4092</v>
      </c>
      <c r="G32" t="s">
        <v>4093</v>
      </c>
      <c r="H32" t="s">
        <v>4094</v>
      </c>
      <c r="I32">
        <v>223</v>
      </c>
      <c r="J32" t="s">
        <v>4095</v>
      </c>
      <c r="L32" t="s">
        <v>79</v>
      </c>
      <c r="M32" t="s">
        <v>72</v>
      </c>
      <c r="R32" t="s">
        <v>4096</v>
      </c>
      <c r="W32" t="s">
        <v>4092</v>
      </c>
      <c r="X32" t="s">
        <v>4097</v>
      </c>
      <c r="Y32" t="s">
        <v>242</v>
      </c>
      <c r="Z32" t="s">
        <v>73</v>
      </c>
      <c r="AA32" t="str">
        <f>"14701-9385"</f>
        <v>14701-9385</v>
      </c>
      <c r="AB32" t="s">
        <v>74</v>
      </c>
      <c r="AC32" t="s">
        <v>75</v>
      </c>
      <c r="AD32" t="s">
        <v>72</v>
      </c>
      <c r="AE32" t="s">
        <v>76</v>
      </c>
      <c r="AF32" t="s">
        <v>4049</v>
      </c>
      <c r="AG32" t="s">
        <v>77</v>
      </c>
    </row>
    <row r="33" spans="1:33" x14ac:dyDescent="0.25">
      <c r="A33" t="str">
        <f>"1922344159"</f>
        <v>1922344159</v>
      </c>
      <c r="B33" t="str">
        <f>"03735173"</f>
        <v>03735173</v>
      </c>
      <c r="C33" t="s">
        <v>4098</v>
      </c>
      <c r="D33" t="s">
        <v>4099</v>
      </c>
      <c r="E33" t="s">
        <v>4100</v>
      </c>
      <c r="G33" t="s">
        <v>4101</v>
      </c>
      <c r="H33" t="s">
        <v>4102</v>
      </c>
      <c r="I33">
        <v>44</v>
      </c>
      <c r="J33" t="s">
        <v>4103</v>
      </c>
      <c r="L33" t="s">
        <v>80</v>
      </c>
      <c r="M33" t="s">
        <v>72</v>
      </c>
      <c r="R33" t="s">
        <v>4104</v>
      </c>
      <c r="W33" t="s">
        <v>4100</v>
      </c>
      <c r="X33" t="s">
        <v>4105</v>
      </c>
      <c r="Y33" t="s">
        <v>242</v>
      </c>
      <c r="Z33" t="s">
        <v>73</v>
      </c>
      <c r="AA33" t="str">
        <f>"14701-2545"</f>
        <v>14701-2545</v>
      </c>
      <c r="AB33" t="s">
        <v>74</v>
      </c>
      <c r="AC33" t="s">
        <v>75</v>
      </c>
      <c r="AD33" t="s">
        <v>72</v>
      </c>
      <c r="AE33" t="s">
        <v>76</v>
      </c>
      <c r="AF33" t="s">
        <v>4049</v>
      </c>
      <c r="AG33" t="s">
        <v>77</v>
      </c>
    </row>
    <row r="34" spans="1:33" x14ac:dyDescent="0.25">
      <c r="A34" t="str">
        <f>"1568420925"</f>
        <v>1568420925</v>
      </c>
      <c r="B34" t="str">
        <f>"00894931"</f>
        <v>00894931</v>
      </c>
      <c r="C34" t="s">
        <v>4106</v>
      </c>
      <c r="D34" t="s">
        <v>1007</v>
      </c>
      <c r="E34" t="s">
        <v>1008</v>
      </c>
      <c r="G34" t="s">
        <v>4107</v>
      </c>
      <c r="H34" t="s">
        <v>1009</v>
      </c>
      <c r="J34" t="s">
        <v>4108</v>
      </c>
      <c r="L34" t="s">
        <v>84</v>
      </c>
      <c r="M34" t="s">
        <v>72</v>
      </c>
      <c r="R34" t="s">
        <v>1010</v>
      </c>
      <c r="W34" t="s">
        <v>1011</v>
      </c>
      <c r="X34" t="s">
        <v>1012</v>
      </c>
      <c r="Y34" t="s">
        <v>221</v>
      </c>
      <c r="Z34" t="s">
        <v>73</v>
      </c>
      <c r="AA34" t="str">
        <f>"14221-2723"</f>
        <v>14221-2723</v>
      </c>
      <c r="AB34" t="s">
        <v>74</v>
      </c>
      <c r="AC34" t="s">
        <v>75</v>
      </c>
      <c r="AD34" t="s">
        <v>72</v>
      </c>
      <c r="AE34" t="s">
        <v>76</v>
      </c>
      <c r="AF34" t="s">
        <v>3961</v>
      </c>
      <c r="AG34" t="s">
        <v>77</v>
      </c>
    </row>
    <row r="35" spans="1:33" x14ac:dyDescent="0.25">
      <c r="A35" t="str">
        <f>"1801836507"</f>
        <v>1801836507</v>
      </c>
      <c r="B35" t="str">
        <f>"01901115"</f>
        <v>01901115</v>
      </c>
      <c r="C35" t="s">
        <v>4109</v>
      </c>
      <c r="D35" t="s">
        <v>3745</v>
      </c>
      <c r="E35" t="s">
        <v>3746</v>
      </c>
      <c r="G35" t="s">
        <v>4110</v>
      </c>
      <c r="H35" t="s">
        <v>1304</v>
      </c>
      <c r="J35" t="s">
        <v>4111</v>
      </c>
      <c r="L35" t="s">
        <v>79</v>
      </c>
      <c r="M35" t="s">
        <v>72</v>
      </c>
      <c r="R35" t="s">
        <v>3747</v>
      </c>
      <c r="W35" t="s">
        <v>3746</v>
      </c>
      <c r="X35" t="s">
        <v>243</v>
      </c>
      <c r="Y35" t="s">
        <v>117</v>
      </c>
      <c r="Z35" t="s">
        <v>73</v>
      </c>
      <c r="AA35" t="str">
        <f>"14203-1126"</f>
        <v>14203-1126</v>
      </c>
      <c r="AB35" t="s">
        <v>74</v>
      </c>
      <c r="AC35" t="s">
        <v>75</v>
      </c>
      <c r="AD35" t="s">
        <v>72</v>
      </c>
      <c r="AE35" t="s">
        <v>76</v>
      </c>
      <c r="AG35" t="s">
        <v>77</v>
      </c>
    </row>
    <row r="36" spans="1:33" x14ac:dyDescent="0.25">
      <c r="A36" t="str">
        <f>"1689687857"</f>
        <v>1689687857</v>
      </c>
      <c r="B36" t="str">
        <f>"01013670"</f>
        <v>01013670</v>
      </c>
      <c r="C36" t="s">
        <v>4112</v>
      </c>
      <c r="D36" t="s">
        <v>4113</v>
      </c>
      <c r="E36" t="s">
        <v>4114</v>
      </c>
      <c r="G36" t="s">
        <v>4115</v>
      </c>
      <c r="H36" t="s">
        <v>4116</v>
      </c>
      <c r="J36" t="s">
        <v>4117</v>
      </c>
      <c r="L36" t="s">
        <v>80</v>
      </c>
      <c r="M36" t="s">
        <v>72</v>
      </c>
      <c r="R36" t="s">
        <v>4118</v>
      </c>
      <c r="W36" t="s">
        <v>4118</v>
      </c>
      <c r="Y36" t="s">
        <v>117</v>
      </c>
      <c r="Z36" t="s">
        <v>73</v>
      </c>
      <c r="AA36" t="str">
        <f>"14220-2095"</f>
        <v>14220-2095</v>
      </c>
      <c r="AB36" t="s">
        <v>74</v>
      </c>
      <c r="AC36" t="s">
        <v>75</v>
      </c>
      <c r="AD36" t="s">
        <v>72</v>
      </c>
      <c r="AE36" t="s">
        <v>76</v>
      </c>
      <c r="AF36" t="s">
        <v>3961</v>
      </c>
      <c r="AG36" t="s">
        <v>77</v>
      </c>
    </row>
    <row r="37" spans="1:33" x14ac:dyDescent="0.25">
      <c r="A37" t="str">
        <f>"1497989586"</f>
        <v>1497989586</v>
      </c>
      <c r="B37" t="str">
        <f>"03344227"</f>
        <v>03344227</v>
      </c>
      <c r="C37" t="s">
        <v>4119</v>
      </c>
      <c r="D37" t="s">
        <v>4120</v>
      </c>
      <c r="E37" t="s">
        <v>4121</v>
      </c>
      <c r="L37" t="s">
        <v>79</v>
      </c>
      <c r="M37" t="s">
        <v>72</v>
      </c>
      <c r="R37" t="s">
        <v>4121</v>
      </c>
      <c r="W37" t="s">
        <v>4121</v>
      </c>
      <c r="X37" t="s">
        <v>204</v>
      </c>
      <c r="Y37" t="s">
        <v>117</v>
      </c>
      <c r="Z37" t="s">
        <v>73</v>
      </c>
      <c r="AA37" t="str">
        <f>"14263-0001"</f>
        <v>14263-0001</v>
      </c>
      <c r="AB37" t="s">
        <v>74</v>
      </c>
      <c r="AC37" t="s">
        <v>75</v>
      </c>
      <c r="AD37" t="s">
        <v>72</v>
      </c>
      <c r="AE37" t="s">
        <v>76</v>
      </c>
      <c r="AF37" t="s">
        <v>4043</v>
      </c>
      <c r="AG37" t="s">
        <v>77</v>
      </c>
    </row>
    <row r="38" spans="1:33" x14ac:dyDescent="0.25">
      <c r="A38" t="str">
        <f>"1982757241"</f>
        <v>1982757241</v>
      </c>
      <c r="B38" t="str">
        <f>"00853769"</f>
        <v>00853769</v>
      </c>
      <c r="C38" t="s">
        <v>4122</v>
      </c>
      <c r="D38" t="s">
        <v>4123</v>
      </c>
      <c r="E38" t="s">
        <v>4124</v>
      </c>
      <c r="L38" t="s">
        <v>79</v>
      </c>
      <c r="M38" t="s">
        <v>72</v>
      </c>
      <c r="R38" t="s">
        <v>4125</v>
      </c>
      <c r="W38" t="s">
        <v>4124</v>
      </c>
      <c r="X38" t="s">
        <v>165</v>
      </c>
      <c r="Y38" t="s">
        <v>166</v>
      </c>
      <c r="Z38" t="s">
        <v>73</v>
      </c>
      <c r="AA38" t="str">
        <f>"12308-2425"</f>
        <v>12308-2425</v>
      </c>
      <c r="AB38" t="s">
        <v>74</v>
      </c>
      <c r="AC38" t="s">
        <v>75</v>
      </c>
      <c r="AD38" t="s">
        <v>72</v>
      </c>
      <c r="AE38" t="s">
        <v>76</v>
      </c>
      <c r="AF38" t="s">
        <v>4043</v>
      </c>
      <c r="AG38" t="s">
        <v>77</v>
      </c>
    </row>
    <row r="39" spans="1:33" x14ac:dyDescent="0.25">
      <c r="A39" t="str">
        <f>"1598746075"</f>
        <v>1598746075</v>
      </c>
      <c r="B39" t="str">
        <f>"01461590"</f>
        <v>01461590</v>
      </c>
      <c r="C39" t="s">
        <v>4126</v>
      </c>
      <c r="D39" t="s">
        <v>4127</v>
      </c>
      <c r="E39" t="s">
        <v>4128</v>
      </c>
      <c r="L39" t="s">
        <v>79</v>
      </c>
      <c r="M39" t="s">
        <v>72</v>
      </c>
      <c r="R39" t="s">
        <v>4129</v>
      </c>
      <c r="W39" t="s">
        <v>4128</v>
      </c>
      <c r="X39" t="s">
        <v>4130</v>
      </c>
      <c r="Y39" t="s">
        <v>117</v>
      </c>
      <c r="Z39" t="s">
        <v>73</v>
      </c>
      <c r="AA39" t="str">
        <f t="shared" ref="AA39:AA51" si="0">"14263-0001"</f>
        <v>14263-0001</v>
      </c>
      <c r="AB39" t="s">
        <v>74</v>
      </c>
      <c r="AC39" t="s">
        <v>75</v>
      </c>
      <c r="AD39" t="s">
        <v>72</v>
      </c>
      <c r="AE39" t="s">
        <v>76</v>
      </c>
      <c r="AF39" t="s">
        <v>4043</v>
      </c>
      <c r="AG39" t="s">
        <v>77</v>
      </c>
    </row>
    <row r="40" spans="1:33" x14ac:dyDescent="0.25">
      <c r="A40" t="str">
        <f>"1396940995"</f>
        <v>1396940995</v>
      </c>
      <c r="B40" t="str">
        <f>"02893465"</f>
        <v>02893465</v>
      </c>
      <c r="C40" t="s">
        <v>4131</v>
      </c>
      <c r="D40" t="s">
        <v>4132</v>
      </c>
      <c r="E40" t="s">
        <v>4133</v>
      </c>
      <c r="L40" t="s">
        <v>79</v>
      </c>
      <c r="M40" t="s">
        <v>72</v>
      </c>
      <c r="R40" t="s">
        <v>4134</v>
      </c>
      <c r="W40" t="s">
        <v>4133</v>
      </c>
      <c r="X40" t="s">
        <v>204</v>
      </c>
      <c r="Y40" t="s">
        <v>117</v>
      </c>
      <c r="Z40" t="s">
        <v>73</v>
      </c>
      <c r="AA40" t="str">
        <f t="shared" si="0"/>
        <v>14263-0001</v>
      </c>
      <c r="AB40" t="s">
        <v>74</v>
      </c>
      <c r="AC40" t="s">
        <v>75</v>
      </c>
      <c r="AD40" t="s">
        <v>72</v>
      </c>
      <c r="AE40" t="s">
        <v>76</v>
      </c>
      <c r="AF40" t="s">
        <v>4043</v>
      </c>
      <c r="AG40" t="s">
        <v>77</v>
      </c>
    </row>
    <row r="41" spans="1:33" x14ac:dyDescent="0.25">
      <c r="A41" t="str">
        <f>"1447276753"</f>
        <v>1447276753</v>
      </c>
      <c r="B41" t="str">
        <f>"03242335"</f>
        <v>03242335</v>
      </c>
      <c r="C41" t="s">
        <v>4135</v>
      </c>
      <c r="D41" t="s">
        <v>4136</v>
      </c>
      <c r="E41" t="s">
        <v>4137</v>
      </c>
      <c r="L41" t="s">
        <v>79</v>
      </c>
      <c r="M41" t="s">
        <v>72</v>
      </c>
      <c r="R41" t="s">
        <v>4138</v>
      </c>
      <c r="W41" t="s">
        <v>4137</v>
      </c>
      <c r="X41" t="s">
        <v>204</v>
      </c>
      <c r="Y41" t="s">
        <v>117</v>
      </c>
      <c r="Z41" t="s">
        <v>73</v>
      </c>
      <c r="AA41" t="str">
        <f t="shared" si="0"/>
        <v>14263-0001</v>
      </c>
      <c r="AB41" t="s">
        <v>74</v>
      </c>
      <c r="AC41" t="s">
        <v>75</v>
      </c>
      <c r="AD41" t="s">
        <v>72</v>
      </c>
      <c r="AE41" t="s">
        <v>76</v>
      </c>
      <c r="AF41" t="s">
        <v>4043</v>
      </c>
      <c r="AG41" t="s">
        <v>77</v>
      </c>
    </row>
    <row r="42" spans="1:33" x14ac:dyDescent="0.25">
      <c r="A42" t="str">
        <f>"1154654978"</f>
        <v>1154654978</v>
      </c>
      <c r="B42" t="str">
        <f>"03390796"</f>
        <v>03390796</v>
      </c>
      <c r="C42" t="s">
        <v>4139</v>
      </c>
      <c r="D42" t="s">
        <v>4140</v>
      </c>
      <c r="E42" t="s">
        <v>4141</v>
      </c>
      <c r="L42" t="s">
        <v>79</v>
      </c>
      <c r="M42" t="s">
        <v>72</v>
      </c>
      <c r="R42" t="s">
        <v>4142</v>
      </c>
      <c r="W42" t="s">
        <v>4141</v>
      </c>
      <c r="X42" t="s">
        <v>204</v>
      </c>
      <c r="Y42" t="s">
        <v>117</v>
      </c>
      <c r="Z42" t="s">
        <v>73</v>
      </c>
      <c r="AA42" t="str">
        <f t="shared" si="0"/>
        <v>14263-0001</v>
      </c>
      <c r="AB42" t="s">
        <v>74</v>
      </c>
      <c r="AC42" t="s">
        <v>75</v>
      </c>
      <c r="AD42" t="s">
        <v>72</v>
      </c>
      <c r="AE42" t="s">
        <v>76</v>
      </c>
      <c r="AF42" t="s">
        <v>4043</v>
      </c>
      <c r="AG42" t="s">
        <v>77</v>
      </c>
    </row>
    <row r="43" spans="1:33" x14ac:dyDescent="0.25">
      <c r="A43" t="str">
        <f>"1730352824"</f>
        <v>1730352824</v>
      </c>
      <c r="B43" t="str">
        <f>"02960272"</f>
        <v>02960272</v>
      </c>
      <c r="C43" t="s">
        <v>4143</v>
      </c>
      <c r="D43" t="s">
        <v>4144</v>
      </c>
      <c r="E43" t="s">
        <v>4145</v>
      </c>
      <c r="L43" t="s">
        <v>79</v>
      </c>
      <c r="M43" t="s">
        <v>72</v>
      </c>
      <c r="R43" t="s">
        <v>4146</v>
      </c>
      <c r="W43" t="s">
        <v>4147</v>
      </c>
      <c r="X43" t="s">
        <v>204</v>
      </c>
      <c r="Y43" t="s">
        <v>117</v>
      </c>
      <c r="Z43" t="s">
        <v>73</v>
      </c>
      <c r="AA43" t="str">
        <f t="shared" si="0"/>
        <v>14263-0001</v>
      </c>
      <c r="AB43" t="s">
        <v>74</v>
      </c>
      <c r="AC43" t="s">
        <v>75</v>
      </c>
      <c r="AD43" t="s">
        <v>72</v>
      </c>
      <c r="AE43" t="s">
        <v>76</v>
      </c>
      <c r="AF43" t="s">
        <v>4043</v>
      </c>
      <c r="AG43" t="s">
        <v>77</v>
      </c>
    </row>
    <row r="44" spans="1:33" x14ac:dyDescent="0.25">
      <c r="A44" t="str">
        <f>"1801877451"</f>
        <v>1801877451</v>
      </c>
      <c r="B44" t="str">
        <f>"02410451"</f>
        <v>02410451</v>
      </c>
      <c r="C44" t="s">
        <v>4148</v>
      </c>
      <c r="D44" t="s">
        <v>4149</v>
      </c>
      <c r="E44" t="s">
        <v>4150</v>
      </c>
      <c r="L44" t="s">
        <v>71</v>
      </c>
      <c r="M44" t="s">
        <v>72</v>
      </c>
      <c r="R44" t="s">
        <v>4151</v>
      </c>
      <c r="W44" t="s">
        <v>4150</v>
      </c>
      <c r="X44" t="s">
        <v>1916</v>
      </c>
      <c r="Y44" t="s">
        <v>117</v>
      </c>
      <c r="Z44" t="s">
        <v>73</v>
      </c>
      <c r="AA44" t="str">
        <f t="shared" si="0"/>
        <v>14263-0001</v>
      </c>
      <c r="AB44" t="s">
        <v>74</v>
      </c>
      <c r="AC44" t="s">
        <v>75</v>
      </c>
      <c r="AD44" t="s">
        <v>72</v>
      </c>
      <c r="AE44" t="s">
        <v>76</v>
      </c>
      <c r="AF44" t="s">
        <v>4043</v>
      </c>
      <c r="AG44" t="s">
        <v>77</v>
      </c>
    </row>
    <row r="45" spans="1:33" x14ac:dyDescent="0.25">
      <c r="A45" t="str">
        <f>"1194758805"</f>
        <v>1194758805</v>
      </c>
      <c r="B45" t="str">
        <f>"02832222"</f>
        <v>02832222</v>
      </c>
      <c r="C45" t="s">
        <v>4152</v>
      </c>
      <c r="D45" t="s">
        <v>4153</v>
      </c>
      <c r="E45" t="s">
        <v>4154</v>
      </c>
      <c r="L45" t="s">
        <v>79</v>
      </c>
      <c r="M45" t="s">
        <v>72</v>
      </c>
      <c r="R45" t="s">
        <v>4155</v>
      </c>
      <c r="W45" t="s">
        <v>4154</v>
      </c>
      <c r="X45" t="s">
        <v>204</v>
      </c>
      <c r="Y45" t="s">
        <v>117</v>
      </c>
      <c r="Z45" t="s">
        <v>73</v>
      </c>
      <c r="AA45" t="str">
        <f t="shared" si="0"/>
        <v>14263-0001</v>
      </c>
      <c r="AB45" t="s">
        <v>74</v>
      </c>
      <c r="AC45" t="s">
        <v>75</v>
      </c>
      <c r="AD45" t="s">
        <v>72</v>
      </c>
      <c r="AE45" t="s">
        <v>76</v>
      </c>
      <c r="AF45" t="s">
        <v>4043</v>
      </c>
      <c r="AG45" t="s">
        <v>77</v>
      </c>
    </row>
    <row r="46" spans="1:33" x14ac:dyDescent="0.25">
      <c r="A46" t="str">
        <f>"1982680583"</f>
        <v>1982680583</v>
      </c>
      <c r="B46" t="str">
        <f>"02911737"</f>
        <v>02911737</v>
      </c>
      <c r="C46" t="s">
        <v>4156</v>
      </c>
      <c r="D46" t="s">
        <v>4157</v>
      </c>
      <c r="E46" t="s">
        <v>4158</v>
      </c>
      <c r="L46" t="s">
        <v>79</v>
      </c>
      <c r="M46" t="s">
        <v>72</v>
      </c>
      <c r="R46" t="s">
        <v>4159</v>
      </c>
      <c r="W46" t="s">
        <v>4158</v>
      </c>
      <c r="X46" t="s">
        <v>204</v>
      </c>
      <c r="Y46" t="s">
        <v>117</v>
      </c>
      <c r="Z46" t="s">
        <v>73</v>
      </c>
      <c r="AA46" t="str">
        <f t="shared" si="0"/>
        <v>14263-0001</v>
      </c>
      <c r="AB46" t="s">
        <v>74</v>
      </c>
      <c r="AC46" t="s">
        <v>75</v>
      </c>
      <c r="AD46" t="s">
        <v>72</v>
      </c>
      <c r="AE46" t="s">
        <v>76</v>
      </c>
      <c r="AF46" t="s">
        <v>4043</v>
      </c>
      <c r="AG46" t="s">
        <v>77</v>
      </c>
    </row>
    <row r="47" spans="1:33" x14ac:dyDescent="0.25">
      <c r="A47" t="str">
        <f>"1154509008"</f>
        <v>1154509008</v>
      </c>
      <c r="B47" t="str">
        <f>"03353688"</f>
        <v>03353688</v>
      </c>
      <c r="C47" t="s">
        <v>4160</v>
      </c>
      <c r="D47" t="s">
        <v>4161</v>
      </c>
      <c r="E47" t="s">
        <v>4162</v>
      </c>
      <c r="L47" t="s">
        <v>79</v>
      </c>
      <c r="M47" t="s">
        <v>72</v>
      </c>
      <c r="R47" t="s">
        <v>4162</v>
      </c>
      <c r="W47" t="s">
        <v>4162</v>
      </c>
      <c r="X47" t="s">
        <v>4163</v>
      </c>
      <c r="Y47" t="s">
        <v>117</v>
      </c>
      <c r="Z47" t="s">
        <v>73</v>
      </c>
      <c r="AA47" t="str">
        <f t="shared" si="0"/>
        <v>14263-0001</v>
      </c>
      <c r="AB47" t="s">
        <v>74</v>
      </c>
      <c r="AC47" t="s">
        <v>75</v>
      </c>
      <c r="AD47" t="s">
        <v>72</v>
      </c>
      <c r="AE47" t="s">
        <v>76</v>
      </c>
      <c r="AF47" t="s">
        <v>4043</v>
      </c>
      <c r="AG47" t="s">
        <v>77</v>
      </c>
    </row>
    <row r="48" spans="1:33" x14ac:dyDescent="0.25">
      <c r="A48" t="str">
        <f>"1043217193"</f>
        <v>1043217193</v>
      </c>
      <c r="B48" t="str">
        <f>"01991271"</f>
        <v>01991271</v>
      </c>
      <c r="C48" t="s">
        <v>4164</v>
      </c>
      <c r="D48" t="s">
        <v>2810</v>
      </c>
      <c r="E48" t="s">
        <v>2811</v>
      </c>
      <c r="L48" t="s">
        <v>79</v>
      </c>
      <c r="M48" t="s">
        <v>72</v>
      </c>
      <c r="R48" t="s">
        <v>2811</v>
      </c>
      <c r="W48" t="s">
        <v>2811</v>
      </c>
      <c r="X48" t="s">
        <v>2137</v>
      </c>
      <c r="Y48" t="s">
        <v>117</v>
      </c>
      <c r="Z48" t="s">
        <v>73</v>
      </c>
      <c r="AA48" t="str">
        <f t="shared" si="0"/>
        <v>14263-0001</v>
      </c>
      <c r="AB48" t="s">
        <v>74</v>
      </c>
      <c r="AC48" t="s">
        <v>75</v>
      </c>
      <c r="AD48" t="s">
        <v>72</v>
      </c>
      <c r="AE48" t="s">
        <v>76</v>
      </c>
      <c r="AF48" t="s">
        <v>4043</v>
      </c>
      <c r="AG48" t="s">
        <v>77</v>
      </c>
    </row>
    <row r="49" spans="1:33" x14ac:dyDescent="0.25">
      <c r="A49" t="str">
        <f>"1174521512"</f>
        <v>1174521512</v>
      </c>
      <c r="B49" t="str">
        <f>"01183926"</f>
        <v>01183926</v>
      </c>
      <c r="C49" t="s">
        <v>4165</v>
      </c>
      <c r="D49" t="s">
        <v>4166</v>
      </c>
      <c r="E49" t="s">
        <v>4167</v>
      </c>
      <c r="L49" t="s">
        <v>79</v>
      </c>
      <c r="M49" t="s">
        <v>72</v>
      </c>
      <c r="R49" t="s">
        <v>4168</v>
      </c>
      <c r="W49" t="s">
        <v>4167</v>
      </c>
      <c r="X49" t="s">
        <v>1234</v>
      </c>
      <c r="Y49" t="s">
        <v>117</v>
      </c>
      <c r="Z49" t="s">
        <v>73</v>
      </c>
      <c r="AA49" t="str">
        <f t="shared" si="0"/>
        <v>14263-0001</v>
      </c>
      <c r="AB49" t="s">
        <v>74</v>
      </c>
      <c r="AC49" t="s">
        <v>75</v>
      </c>
      <c r="AD49" t="s">
        <v>72</v>
      </c>
      <c r="AE49" t="s">
        <v>76</v>
      </c>
      <c r="AF49" t="s">
        <v>4043</v>
      </c>
      <c r="AG49" t="s">
        <v>77</v>
      </c>
    </row>
    <row r="50" spans="1:33" x14ac:dyDescent="0.25">
      <c r="A50" t="str">
        <f>"1730187006"</f>
        <v>1730187006</v>
      </c>
      <c r="B50" t="str">
        <f>"02411829"</f>
        <v>02411829</v>
      </c>
      <c r="C50" t="s">
        <v>4169</v>
      </c>
      <c r="D50" t="s">
        <v>4170</v>
      </c>
      <c r="E50" t="s">
        <v>4171</v>
      </c>
      <c r="L50" t="s">
        <v>79</v>
      </c>
      <c r="M50" t="s">
        <v>72</v>
      </c>
      <c r="R50" t="s">
        <v>4172</v>
      </c>
      <c r="W50" t="s">
        <v>4171</v>
      </c>
      <c r="X50" t="s">
        <v>2746</v>
      </c>
      <c r="Y50" t="s">
        <v>117</v>
      </c>
      <c r="Z50" t="s">
        <v>73</v>
      </c>
      <c r="AA50" t="str">
        <f t="shared" si="0"/>
        <v>14263-0001</v>
      </c>
      <c r="AB50" t="s">
        <v>74</v>
      </c>
      <c r="AC50" t="s">
        <v>75</v>
      </c>
      <c r="AD50" t="s">
        <v>72</v>
      </c>
      <c r="AE50" t="s">
        <v>76</v>
      </c>
      <c r="AF50" t="s">
        <v>4043</v>
      </c>
      <c r="AG50" t="s">
        <v>77</v>
      </c>
    </row>
    <row r="51" spans="1:33" x14ac:dyDescent="0.25">
      <c r="A51" t="str">
        <f>"1942383807"</f>
        <v>1942383807</v>
      </c>
      <c r="B51" t="str">
        <f>"03083589"</f>
        <v>03083589</v>
      </c>
      <c r="C51" t="s">
        <v>4173</v>
      </c>
      <c r="D51" t="s">
        <v>3251</v>
      </c>
      <c r="E51" t="s">
        <v>3252</v>
      </c>
      <c r="L51" t="s">
        <v>79</v>
      </c>
      <c r="M51" t="s">
        <v>72</v>
      </c>
      <c r="R51" t="s">
        <v>3253</v>
      </c>
      <c r="W51" t="s">
        <v>3252</v>
      </c>
      <c r="X51" t="s">
        <v>204</v>
      </c>
      <c r="Y51" t="s">
        <v>117</v>
      </c>
      <c r="Z51" t="s">
        <v>73</v>
      </c>
      <c r="AA51" t="str">
        <f t="shared" si="0"/>
        <v>14263-0001</v>
      </c>
      <c r="AB51" t="s">
        <v>74</v>
      </c>
      <c r="AC51" t="s">
        <v>75</v>
      </c>
      <c r="AD51" t="s">
        <v>72</v>
      </c>
      <c r="AE51" t="s">
        <v>76</v>
      </c>
      <c r="AG51" t="s">
        <v>77</v>
      </c>
    </row>
    <row r="52" spans="1:33" x14ac:dyDescent="0.25">
      <c r="A52" t="str">
        <f>"1235120296"</f>
        <v>1235120296</v>
      </c>
      <c r="B52" t="str">
        <f>"01827729"</f>
        <v>01827729</v>
      </c>
      <c r="C52" t="s">
        <v>4174</v>
      </c>
      <c r="D52" t="s">
        <v>4175</v>
      </c>
      <c r="E52" t="s">
        <v>4176</v>
      </c>
      <c r="L52" t="s">
        <v>79</v>
      </c>
      <c r="M52" t="s">
        <v>72</v>
      </c>
      <c r="R52" t="s">
        <v>4177</v>
      </c>
      <c r="W52" t="s">
        <v>4176</v>
      </c>
      <c r="X52" t="s">
        <v>1916</v>
      </c>
      <c r="Y52" t="s">
        <v>117</v>
      </c>
      <c r="Z52" t="s">
        <v>73</v>
      </c>
      <c r="AA52" t="str">
        <f>"14267-0001"</f>
        <v>14267-0001</v>
      </c>
      <c r="AB52" t="s">
        <v>74</v>
      </c>
      <c r="AC52" t="s">
        <v>75</v>
      </c>
      <c r="AD52" t="s">
        <v>72</v>
      </c>
      <c r="AE52" t="s">
        <v>76</v>
      </c>
      <c r="AF52" t="s">
        <v>4043</v>
      </c>
      <c r="AG52" t="s">
        <v>77</v>
      </c>
    </row>
    <row r="53" spans="1:33" x14ac:dyDescent="0.25">
      <c r="A53" t="str">
        <f>"1295726958"</f>
        <v>1295726958</v>
      </c>
      <c r="B53" t="str">
        <f>"02148552"</f>
        <v>02148552</v>
      </c>
      <c r="C53" t="s">
        <v>4178</v>
      </c>
      <c r="D53" t="s">
        <v>2285</v>
      </c>
      <c r="E53" t="s">
        <v>2286</v>
      </c>
      <c r="L53" t="s">
        <v>79</v>
      </c>
      <c r="M53" t="s">
        <v>72</v>
      </c>
      <c r="R53" t="s">
        <v>2287</v>
      </c>
      <c r="W53" t="s">
        <v>2286</v>
      </c>
      <c r="X53" t="s">
        <v>2288</v>
      </c>
      <c r="Y53" t="s">
        <v>117</v>
      </c>
      <c r="Z53" t="s">
        <v>73</v>
      </c>
      <c r="AA53" t="str">
        <f t="shared" ref="AA53:AA59" si="1">"14263-0001"</f>
        <v>14263-0001</v>
      </c>
      <c r="AB53" t="s">
        <v>74</v>
      </c>
      <c r="AC53" t="s">
        <v>75</v>
      </c>
      <c r="AD53" t="s">
        <v>72</v>
      </c>
      <c r="AE53" t="s">
        <v>76</v>
      </c>
      <c r="AF53" t="s">
        <v>4043</v>
      </c>
      <c r="AG53" t="s">
        <v>77</v>
      </c>
    </row>
    <row r="54" spans="1:33" x14ac:dyDescent="0.25">
      <c r="A54" t="str">
        <f>"1073734943"</f>
        <v>1073734943</v>
      </c>
      <c r="B54" t="str">
        <f>"03621836"</f>
        <v>03621836</v>
      </c>
      <c r="C54" t="s">
        <v>4179</v>
      </c>
      <c r="D54" t="s">
        <v>4180</v>
      </c>
      <c r="E54" t="s">
        <v>4181</v>
      </c>
      <c r="L54" t="s">
        <v>79</v>
      </c>
      <c r="M54" t="s">
        <v>72</v>
      </c>
      <c r="R54" t="s">
        <v>4181</v>
      </c>
      <c r="W54" t="s">
        <v>4181</v>
      </c>
      <c r="X54" t="s">
        <v>204</v>
      </c>
      <c r="Y54" t="s">
        <v>117</v>
      </c>
      <c r="Z54" t="s">
        <v>73</v>
      </c>
      <c r="AA54" t="str">
        <f t="shared" si="1"/>
        <v>14263-0001</v>
      </c>
      <c r="AB54" t="s">
        <v>74</v>
      </c>
      <c r="AC54" t="s">
        <v>75</v>
      </c>
      <c r="AD54" t="s">
        <v>72</v>
      </c>
      <c r="AE54" t="s">
        <v>76</v>
      </c>
      <c r="AF54" t="s">
        <v>4043</v>
      </c>
      <c r="AG54" t="s">
        <v>77</v>
      </c>
    </row>
    <row r="55" spans="1:33" x14ac:dyDescent="0.25">
      <c r="A55" t="str">
        <f>"1942381173"</f>
        <v>1942381173</v>
      </c>
      <c r="B55" t="str">
        <f>"03228993"</f>
        <v>03228993</v>
      </c>
      <c r="C55" t="s">
        <v>4182</v>
      </c>
      <c r="D55" t="s">
        <v>4183</v>
      </c>
      <c r="E55" t="s">
        <v>4184</v>
      </c>
      <c r="L55" t="s">
        <v>79</v>
      </c>
      <c r="M55" t="s">
        <v>72</v>
      </c>
      <c r="R55" t="s">
        <v>4184</v>
      </c>
      <c r="W55" t="s">
        <v>4184</v>
      </c>
      <c r="X55" t="s">
        <v>204</v>
      </c>
      <c r="Y55" t="s">
        <v>117</v>
      </c>
      <c r="Z55" t="s">
        <v>73</v>
      </c>
      <c r="AA55" t="str">
        <f t="shared" si="1"/>
        <v>14263-0001</v>
      </c>
      <c r="AB55" t="s">
        <v>74</v>
      </c>
      <c r="AC55" t="s">
        <v>75</v>
      </c>
      <c r="AD55" t="s">
        <v>72</v>
      </c>
      <c r="AE55" t="s">
        <v>76</v>
      </c>
      <c r="AF55" t="s">
        <v>4043</v>
      </c>
      <c r="AG55" t="s">
        <v>77</v>
      </c>
    </row>
    <row r="56" spans="1:33" x14ac:dyDescent="0.25">
      <c r="A56" t="str">
        <f>"1316153034"</f>
        <v>1316153034</v>
      </c>
      <c r="B56" t="str">
        <f>"03383906"</f>
        <v>03383906</v>
      </c>
      <c r="C56" t="s">
        <v>4185</v>
      </c>
      <c r="D56" t="s">
        <v>4186</v>
      </c>
      <c r="E56" t="s">
        <v>4187</v>
      </c>
      <c r="L56" t="s">
        <v>79</v>
      </c>
      <c r="M56" t="s">
        <v>72</v>
      </c>
      <c r="R56" t="s">
        <v>4187</v>
      </c>
      <c r="W56" t="s">
        <v>4187</v>
      </c>
      <c r="X56" t="s">
        <v>4163</v>
      </c>
      <c r="Y56" t="s">
        <v>117</v>
      </c>
      <c r="Z56" t="s">
        <v>73</v>
      </c>
      <c r="AA56" t="str">
        <f t="shared" si="1"/>
        <v>14263-0001</v>
      </c>
      <c r="AB56" t="s">
        <v>74</v>
      </c>
      <c r="AC56" t="s">
        <v>75</v>
      </c>
      <c r="AD56" t="s">
        <v>72</v>
      </c>
      <c r="AE56" t="s">
        <v>76</v>
      </c>
      <c r="AF56" t="s">
        <v>4043</v>
      </c>
      <c r="AG56" t="s">
        <v>77</v>
      </c>
    </row>
    <row r="57" spans="1:33" x14ac:dyDescent="0.25">
      <c r="A57" t="str">
        <f>"1598921181"</f>
        <v>1598921181</v>
      </c>
      <c r="B57" t="str">
        <f>"03938007"</f>
        <v>03938007</v>
      </c>
      <c r="C57" t="s">
        <v>4188</v>
      </c>
      <c r="D57" t="s">
        <v>4189</v>
      </c>
      <c r="E57" t="s">
        <v>4190</v>
      </c>
      <c r="L57" t="s">
        <v>79</v>
      </c>
      <c r="M57" t="s">
        <v>72</v>
      </c>
      <c r="R57" t="s">
        <v>4190</v>
      </c>
      <c r="W57" t="s">
        <v>4190</v>
      </c>
      <c r="X57" t="s">
        <v>204</v>
      </c>
      <c r="Y57" t="s">
        <v>117</v>
      </c>
      <c r="Z57" t="s">
        <v>73</v>
      </c>
      <c r="AA57" t="str">
        <f t="shared" si="1"/>
        <v>14263-0001</v>
      </c>
      <c r="AB57" t="s">
        <v>74</v>
      </c>
      <c r="AC57" t="s">
        <v>75</v>
      </c>
      <c r="AD57" t="s">
        <v>72</v>
      </c>
      <c r="AE57" t="s">
        <v>76</v>
      </c>
      <c r="AF57" t="s">
        <v>4043</v>
      </c>
      <c r="AG57" t="s">
        <v>77</v>
      </c>
    </row>
    <row r="58" spans="1:33" x14ac:dyDescent="0.25">
      <c r="A58" t="str">
        <f>"1215068887"</f>
        <v>1215068887</v>
      </c>
      <c r="B58" t="str">
        <f>"03532258"</f>
        <v>03532258</v>
      </c>
      <c r="C58" t="s">
        <v>4191</v>
      </c>
      <c r="D58" t="s">
        <v>4192</v>
      </c>
      <c r="E58" t="s">
        <v>4193</v>
      </c>
      <c r="L58" t="s">
        <v>71</v>
      </c>
      <c r="M58" t="s">
        <v>72</v>
      </c>
      <c r="R58" t="s">
        <v>4194</v>
      </c>
      <c r="W58" t="s">
        <v>4193</v>
      </c>
      <c r="X58" t="s">
        <v>204</v>
      </c>
      <c r="Y58" t="s">
        <v>117</v>
      </c>
      <c r="Z58" t="s">
        <v>73</v>
      </c>
      <c r="AA58" t="str">
        <f t="shared" si="1"/>
        <v>14263-0001</v>
      </c>
      <c r="AB58" t="s">
        <v>74</v>
      </c>
      <c r="AC58" t="s">
        <v>75</v>
      </c>
      <c r="AD58" t="s">
        <v>72</v>
      </c>
      <c r="AE58" t="s">
        <v>76</v>
      </c>
      <c r="AF58" t="s">
        <v>4043</v>
      </c>
      <c r="AG58" t="s">
        <v>77</v>
      </c>
    </row>
    <row r="59" spans="1:33" x14ac:dyDescent="0.25">
      <c r="A59" t="str">
        <f>"1346642170"</f>
        <v>1346642170</v>
      </c>
      <c r="B59" t="str">
        <f>"04030122"</f>
        <v>04030122</v>
      </c>
      <c r="C59" t="s">
        <v>4195</v>
      </c>
      <c r="D59" t="s">
        <v>4196</v>
      </c>
      <c r="E59" t="s">
        <v>4197</v>
      </c>
      <c r="L59" t="s">
        <v>71</v>
      </c>
      <c r="M59" t="s">
        <v>72</v>
      </c>
      <c r="R59" t="s">
        <v>4198</v>
      </c>
      <c r="W59" t="s">
        <v>4199</v>
      </c>
      <c r="X59" t="s">
        <v>204</v>
      </c>
      <c r="Y59" t="s">
        <v>117</v>
      </c>
      <c r="Z59" t="s">
        <v>73</v>
      </c>
      <c r="AA59" t="str">
        <f t="shared" si="1"/>
        <v>14263-0001</v>
      </c>
      <c r="AB59" t="s">
        <v>74</v>
      </c>
      <c r="AC59" t="s">
        <v>75</v>
      </c>
      <c r="AD59" t="s">
        <v>72</v>
      </c>
      <c r="AE59" t="s">
        <v>76</v>
      </c>
      <c r="AF59" t="s">
        <v>4043</v>
      </c>
      <c r="AG59" t="s">
        <v>77</v>
      </c>
    </row>
    <row r="60" spans="1:33" x14ac:dyDescent="0.25">
      <c r="A60" t="str">
        <f>"1447206222"</f>
        <v>1447206222</v>
      </c>
      <c r="B60" t="str">
        <f>"02568174"</f>
        <v>02568174</v>
      </c>
      <c r="C60" t="s">
        <v>4200</v>
      </c>
      <c r="D60" t="s">
        <v>4201</v>
      </c>
      <c r="E60" t="s">
        <v>4202</v>
      </c>
      <c r="G60" t="s">
        <v>3969</v>
      </c>
      <c r="H60" t="s">
        <v>3970</v>
      </c>
      <c r="J60" t="s">
        <v>3971</v>
      </c>
      <c r="L60" t="s">
        <v>79</v>
      </c>
      <c r="M60" t="s">
        <v>72</v>
      </c>
      <c r="R60" t="s">
        <v>4203</v>
      </c>
      <c r="W60" t="s">
        <v>4202</v>
      </c>
      <c r="X60" t="s">
        <v>234</v>
      </c>
      <c r="Y60" t="s">
        <v>117</v>
      </c>
      <c r="Z60" t="s">
        <v>73</v>
      </c>
      <c r="AA60" t="str">
        <f>"14220-2039"</f>
        <v>14220-2039</v>
      </c>
      <c r="AB60" t="s">
        <v>74</v>
      </c>
      <c r="AC60" t="s">
        <v>75</v>
      </c>
      <c r="AD60" t="s">
        <v>72</v>
      </c>
      <c r="AE60" t="s">
        <v>76</v>
      </c>
      <c r="AF60" t="s">
        <v>3974</v>
      </c>
      <c r="AG60" t="s">
        <v>77</v>
      </c>
    </row>
    <row r="61" spans="1:33" x14ac:dyDescent="0.25">
      <c r="A61" t="str">
        <f>"1932414448"</f>
        <v>1932414448</v>
      </c>
      <c r="B61" t="str">
        <f>"03280435"</f>
        <v>03280435</v>
      </c>
      <c r="C61" t="s">
        <v>4204</v>
      </c>
      <c r="D61" t="s">
        <v>4205</v>
      </c>
      <c r="E61" t="s">
        <v>4206</v>
      </c>
      <c r="L61" t="s">
        <v>79</v>
      </c>
      <c r="M61" t="s">
        <v>72</v>
      </c>
      <c r="R61" t="s">
        <v>4206</v>
      </c>
      <c r="W61" t="s">
        <v>4206</v>
      </c>
      <c r="X61" t="s">
        <v>4207</v>
      </c>
      <c r="Y61" t="s">
        <v>117</v>
      </c>
      <c r="Z61" t="s">
        <v>73</v>
      </c>
      <c r="AA61" t="str">
        <f>"14263-0001"</f>
        <v>14263-0001</v>
      </c>
      <c r="AB61" t="s">
        <v>74</v>
      </c>
      <c r="AC61" t="s">
        <v>75</v>
      </c>
      <c r="AD61" t="s">
        <v>72</v>
      </c>
      <c r="AE61" t="s">
        <v>76</v>
      </c>
      <c r="AF61" t="s">
        <v>4043</v>
      </c>
      <c r="AG61" t="s">
        <v>77</v>
      </c>
    </row>
    <row r="62" spans="1:33" x14ac:dyDescent="0.25">
      <c r="A62" t="str">
        <f>"1558579078"</f>
        <v>1558579078</v>
      </c>
      <c r="B62" t="str">
        <f>"03241976"</f>
        <v>03241976</v>
      </c>
      <c r="C62" t="s">
        <v>4208</v>
      </c>
      <c r="D62" t="s">
        <v>943</v>
      </c>
      <c r="E62" t="s">
        <v>944</v>
      </c>
      <c r="L62" t="s">
        <v>79</v>
      </c>
      <c r="M62" t="s">
        <v>72</v>
      </c>
      <c r="R62" t="s">
        <v>945</v>
      </c>
      <c r="W62" t="s">
        <v>944</v>
      </c>
      <c r="X62" t="s">
        <v>204</v>
      </c>
      <c r="Y62" t="s">
        <v>117</v>
      </c>
      <c r="Z62" t="s">
        <v>73</v>
      </c>
      <c r="AA62" t="str">
        <f>"14263-0001"</f>
        <v>14263-0001</v>
      </c>
      <c r="AB62" t="s">
        <v>74</v>
      </c>
      <c r="AC62" t="s">
        <v>75</v>
      </c>
      <c r="AD62" t="s">
        <v>72</v>
      </c>
      <c r="AE62" t="s">
        <v>76</v>
      </c>
      <c r="AF62" t="s">
        <v>4043</v>
      </c>
      <c r="AG62" t="s">
        <v>77</v>
      </c>
    </row>
    <row r="63" spans="1:33" x14ac:dyDescent="0.25">
      <c r="A63" t="str">
        <f>"1063686418"</f>
        <v>1063686418</v>
      </c>
      <c r="B63" t="str">
        <f>"03241090"</f>
        <v>03241090</v>
      </c>
      <c r="C63" t="s">
        <v>4209</v>
      </c>
      <c r="D63" t="s">
        <v>3264</v>
      </c>
      <c r="E63" t="s">
        <v>3265</v>
      </c>
      <c r="L63" t="s">
        <v>79</v>
      </c>
      <c r="M63" t="s">
        <v>72</v>
      </c>
      <c r="R63" t="s">
        <v>3266</v>
      </c>
      <c r="W63" t="s">
        <v>3266</v>
      </c>
      <c r="X63" t="s">
        <v>204</v>
      </c>
      <c r="Y63" t="s">
        <v>117</v>
      </c>
      <c r="Z63" t="s">
        <v>73</v>
      </c>
      <c r="AA63" t="str">
        <f>"14263-0001"</f>
        <v>14263-0001</v>
      </c>
      <c r="AB63" t="s">
        <v>74</v>
      </c>
      <c r="AC63" t="s">
        <v>75</v>
      </c>
      <c r="AD63" t="s">
        <v>72</v>
      </c>
      <c r="AE63" t="s">
        <v>76</v>
      </c>
      <c r="AF63" t="s">
        <v>4043</v>
      </c>
      <c r="AG63" t="s">
        <v>77</v>
      </c>
    </row>
    <row r="64" spans="1:33" x14ac:dyDescent="0.25">
      <c r="A64" t="str">
        <f>"1023086881"</f>
        <v>1023086881</v>
      </c>
      <c r="B64" t="str">
        <f>"03413343"</f>
        <v>03413343</v>
      </c>
      <c r="C64" t="s">
        <v>4210</v>
      </c>
      <c r="D64" t="s">
        <v>4211</v>
      </c>
      <c r="E64" t="s">
        <v>4212</v>
      </c>
      <c r="L64" t="s">
        <v>79</v>
      </c>
      <c r="M64" t="s">
        <v>72</v>
      </c>
      <c r="R64" t="s">
        <v>4212</v>
      </c>
      <c r="W64" t="s">
        <v>4213</v>
      </c>
      <c r="X64" t="s">
        <v>4163</v>
      </c>
      <c r="Y64" t="s">
        <v>117</v>
      </c>
      <c r="Z64" t="s">
        <v>73</v>
      </c>
      <c r="AA64" t="str">
        <f>"14263-0001"</f>
        <v>14263-0001</v>
      </c>
      <c r="AB64" t="s">
        <v>74</v>
      </c>
      <c r="AC64" t="s">
        <v>75</v>
      </c>
      <c r="AD64" t="s">
        <v>72</v>
      </c>
      <c r="AE64" t="s">
        <v>76</v>
      </c>
      <c r="AF64" t="s">
        <v>4043</v>
      </c>
      <c r="AG64" t="s">
        <v>77</v>
      </c>
    </row>
    <row r="65" spans="1:33" x14ac:dyDescent="0.25">
      <c r="A65" t="str">
        <f>"1598761561"</f>
        <v>1598761561</v>
      </c>
      <c r="B65" t="str">
        <f>"01110943"</f>
        <v>01110943</v>
      </c>
      <c r="C65" t="s">
        <v>4214</v>
      </c>
      <c r="D65" t="s">
        <v>1071</v>
      </c>
      <c r="E65" t="s">
        <v>1072</v>
      </c>
      <c r="L65" t="s">
        <v>79</v>
      </c>
      <c r="M65" t="s">
        <v>72</v>
      </c>
      <c r="R65" t="s">
        <v>1073</v>
      </c>
      <c r="W65" t="s">
        <v>1072</v>
      </c>
      <c r="X65" t="s">
        <v>1074</v>
      </c>
      <c r="Y65" t="s">
        <v>140</v>
      </c>
      <c r="Z65" t="s">
        <v>73</v>
      </c>
      <c r="AA65" t="str">
        <f>"11570-1000"</f>
        <v>11570-1000</v>
      </c>
      <c r="AB65" t="s">
        <v>74</v>
      </c>
      <c r="AC65" t="s">
        <v>75</v>
      </c>
      <c r="AD65" t="s">
        <v>72</v>
      </c>
      <c r="AE65" t="s">
        <v>76</v>
      </c>
      <c r="AF65" t="s">
        <v>4043</v>
      </c>
      <c r="AG65" t="s">
        <v>77</v>
      </c>
    </row>
    <row r="66" spans="1:33" x14ac:dyDescent="0.25">
      <c r="A66" t="str">
        <f>"1326278714"</f>
        <v>1326278714</v>
      </c>
      <c r="B66" t="str">
        <f>"03133626"</f>
        <v>03133626</v>
      </c>
      <c r="C66" t="s">
        <v>4215</v>
      </c>
      <c r="D66" t="s">
        <v>2255</v>
      </c>
      <c r="E66" t="s">
        <v>2256</v>
      </c>
      <c r="L66" t="s">
        <v>79</v>
      </c>
      <c r="M66" t="s">
        <v>72</v>
      </c>
      <c r="R66" t="s">
        <v>2257</v>
      </c>
      <c r="W66" t="s">
        <v>2256</v>
      </c>
      <c r="X66" t="s">
        <v>173</v>
      </c>
      <c r="Y66" t="s">
        <v>117</v>
      </c>
      <c r="Z66" t="s">
        <v>73</v>
      </c>
      <c r="AA66" t="str">
        <f>"14222-2006"</f>
        <v>14222-2006</v>
      </c>
      <c r="AB66" t="s">
        <v>74</v>
      </c>
      <c r="AC66" t="s">
        <v>75</v>
      </c>
      <c r="AD66" t="s">
        <v>72</v>
      </c>
      <c r="AE66" t="s">
        <v>76</v>
      </c>
      <c r="AF66" t="s">
        <v>4043</v>
      </c>
      <c r="AG66" t="s">
        <v>77</v>
      </c>
    </row>
    <row r="67" spans="1:33" x14ac:dyDescent="0.25">
      <c r="A67" t="str">
        <f>"1962577171"</f>
        <v>1962577171</v>
      </c>
      <c r="B67" t="str">
        <f>"03157339"</f>
        <v>03157339</v>
      </c>
      <c r="C67" t="s">
        <v>4216</v>
      </c>
      <c r="D67" t="s">
        <v>3326</v>
      </c>
      <c r="E67" t="s">
        <v>3327</v>
      </c>
      <c r="L67" t="s">
        <v>79</v>
      </c>
      <c r="M67" t="s">
        <v>72</v>
      </c>
      <c r="R67" t="s">
        <v>3328</v>
      </c>
      <c r="W67" t="s">
        <v>3329</v>
      </c>
      <c r="X67" t="s">
        <v>204</v>
      </c>
      <c r="Y67" t="s">
        <v>117</v>
      </c>
      <c r="Z67" t="s">
        <v>73</v>
      </c>
      <c r="AA67" t="str">
        <f>"14263-0001"</f>
        <v>14263-0001</v>
      </c>
      <c r="AB67" t="s">
        <v>74</v>
      </c>
      <c r="AC67" t="s">
        <v>75</v>
      </c>
      <c r="AD67" t="s">
        <v>72</v>
      </c>
      <c r="AE67" t="s">
        <v>76</v>
      </c>
      <c r="AF67" t="s">
        <v>4043</v>
      </c>
      <c r="AG67" t="s">
        <v>77</v>
      </c>
    </row>
    <row r="68" spans="1:33" x14ac:dyDescent="0.25">
      <c r="A68" t="str">
        <f>"1750387627"</f>
        <v>1750387627</v>
      </c>
      <c r="B68" t="str">
        <f>"00714085"</f>
        <v>00714085</v>
      </c>
      <c r="C68" t="s">
        <v>4217</v>
      </c>
      <c r="D68" t="s">
        <v>4218</v>
      </c>
      <c r="E68" t="s">
        <v>4219</v>
      </c>
      <c r="L68" t="s">
        <v>79</v>
      </c>
      <c r="M68" t="s">
        <v>72</v>
      </c>
      <c r="R68" t="s">
        <v>4220</v>
      </c>
      <c r="W68" t="s">
        <v>4219</v>
      </c>
      <c r="X68" t="s">
        <v>229</v>
      </c>
      <c r="Y68" t="s">
        <v>120</v>
      </c>
      <c r="Z68" t="s">
        <v>73</v>
      </c>
      <c r="AA68" t="str">
        <f>"13210-2342"</f>
        <v>13210-2342</v>
      </c>
      <c r="AB68" t="s">
        <v>74</v>
      </c>
      <c r="AC68" t="s">
        <v>75</v>
      </c>
      <c r="AD68" t="s">
        <v>72</v>
      </c>
      <c r="AE68" t="s">
        <v>76</v>
      </c>
      <c r="AF68" t="s">
        <v>4043</v>
      </c>
      <c r="AG68" t="s">
        <v>77</v>
      </c>
    </row>
    <row r="69" spans="1:33" x14ac:dyDescent="0.25">
      <c r="A69" t="str">
        <f>"1386977726"</f>
        <v>1386977726</v>
      </c>
      <c r="B69" t="str">
        <f>"03873970"</f>
        <v>03873970</v>
      </c>
      <c r="C69" t="s">
        <v>4221</v>
      </c>
      <c r="D69" t="s">
        <v>4222</v>
      </c>
      <c r="E69" t="s">
        <v>3935</v>
      </c>
      <c r="L69" t="s">
        <v>71</v>
      </c>
      <c r="M69" t="s">
        <v>72</v>
      </c>
      <c r="R69" t="s">
        <v>3935</v>
      </c>
      <c r="W69" t="s">
        <v>3935</v>
      </c>
      <c r="X69" t="s">
        <v>204</v>
      </c>
      <c r="Y69" t="s">
        <v>117</v>
      </c>
      <c r="Z69" t="s">
        <v>73</v>
      </c>
      <c r="AA69" t="str">
        <f t="shared" ref="AA69:AA74" si="2">"14263-0001"</f>
        <v>14263-0001</v>
      </c>
      <c r="AB69" t="s">
        <v>74</v>
      </c>
      <c r="AC69" t="s">
        <v>75</v>
      </c>
      <c r="AD69" t="s">
        <v>72</v>
      </c>
      <c r="AE69" t="s">
        <v>76</v>
      </c>
      <c r="AF69" t="s">
        <v>4043</v>
      </c>
      <c r="AG69" t="s">
        <v>77</v>
      </c>
    </row>
    <row r="70" spans="1:33" x14ac:dyDescent="0.25">
      <c r="A70" t="str">
        <f>"1366448490"</f>
        <v>1366448490</v>
      </c>
      <c r="B70" t="str">
        <f>"01970323"</f>
        <v>01970323</v>
      </c>
      <c r="C70" t="s">
        <v>4223</v>
      </c>
      <c r="D70" t="s">
        <v>4224</v>
      </c>
      <c r="E70" t="s">
        <v>4225</v>
      </c>
      <c r="L70" t="s">
        <v>79</v>
      </c>
      <c r="M70" t="s">
        <v>72</v>
      </c>
      <c r="R70" t="s">
        <v>4226</v>
      </c>
      <c r="W70" t="s">
        <v>4225</v>
      </c>
      <c r="X70" t="s">
        <v>2137</v>
      </c>
      <c r="Y70" t="s">
        <v>117</v>
      </c>
      <c r="Z70" t="s">
        <v>73</v>
      </c>
      <c r="AA70" t="str">
        <f t="shared" si="2"/>
        <v>14263-0001</v>
      </c>
      <c r="AB70" t="s">
        <v>74</v>
      </c>
      <c r="AC70" t="s">
        <v>75</v>
      </c>
      <c r="AD70" t="s">
        <v>72</v>
      </c>
      <c r="AE70" t="s">
        <v>76</v>
      </c>
      <c r="AF70" t="s">
        <v>4043</v>
      </c>
      <c r="AG70" t="s">
        <v>77</v>
      </c>
    </row>
    <row r="71" spans="1:33" x14ac:dyDescent="0.25">
      <c r="A71" t="str">
        <f>"1568443117"</f>
        <v>1568443117</v>
      </c>
      <c r="B71" t="str">
        <f>"02686386"</f>
        <v>02686386</v>
      </c>
      <c r="C71" t="s">
        <v>4227</v>
      </c>
      <c r="D71" t="s">
        <v>4228</v>
      </c>
      <c r="E71" t="s">
        <v>4229</v>
      </c>
      <c r="L71" t="s">
        <v>79</v>
      </c>
      <c r="M71" t="s">
        <v>72</v>
      </c>
      <c r="R71" t="s">
        <v>4230</v>
      </c>
      <c r="W71" t="s">
        <v>4229</v>
      </c>
      <c r="X71" t="s">
        <v>204</v>
      </c>
      <c r="Y71" t="s">
        <v>117</v>
      </c>
      <c r="Z71" t="s">
        <v>73</v>
      </c>
      <c r="AA71" t="str">
        <f t="shared" si="2"/>
        <v>14263-0001</v>
      </c>
      <c r="AB71" t="s">
        <v>74</v>
      </c>
      <c r="AC71" t="s">
        <v>75</v>
      </c>
      <c r="AD71" t="s">
        <v>72</v>
      </c>
      <c r="AE71" t="s">
        <v>76</v>
      </c>
      <c r="AF71" t="s">
        <v>4043</v>
      </c>
      <c r="AG71" t="s">
        <v>77</v>
      </c>
    </row>
    <row r="72" spans="1:33" x14ac:dyDescent="0.25">
      <c r="A72" t="str">
        <f>"1073723441"</f>
        <v>1073723441</v>
      </c>
      <c r="B72" t="str">
        <f>"03464422"</f>
        <v>03464422</v>
      </c>
      <c r="C72" t="s">
        <v>4231</v>
      </c>
      <c r="D72" t="s">
        <v>4232</v>
      </c>
      <c r="E72" t="s">
        <v>4233</v>
      </c>
      <c r="L72" t="s">
        <v>79</v>
      </c>
      <c r="M72" t="s">
        <v>72</v>
      </c>
      <c r="R72" t="s">
        <v>4233</v>
      </c>
      <c r="W72" t="s">
        <v>4233</v>
      </c>
      <c r="X72" t="s">
        <v>204</v>
      </c>
      <c r="Y72" t="s">
        <v>117</v>
      </c>
      <c r="Z72" t="s">
        <v>73</v>
      </c>
      <c r="AA72" t="str">
        <f t="shared" si="2"/>
        <v>14263-0001</v>
      </c>
      <c r="AB72" t="s">
        <v>74</v>
      </c>
      <c r="AC72" t="s">
        <v>75</v>
      </c>
      <c r="AD72" t="s">
        <v>72</v>
      </c>
      <c r="AE72" t="s">
        <v>76</v>
      </c>
      <c r="AF72" t="s">
        <v>4043</v>
      </c>
      <c r="AG72" t="s">
        <v>77</v>
      </c>
    </row>
    <row r="73" spans="1:33" x14ac:dyDescent="0.25">
      <c r="A73" t="str">
        <f>"1710983689"</f>
        <v>1710983689</v>
      </c>
      <c r="B73" t="str">
        <f>"02555255"</f>
        <v>02555255</v>
      </c>
      <c r="C73" t="s">
        <v>4234</v>
      </c>
      <c r="D73" t="s">
        <v>4235</v>
      </c>
      <c r="E73" t="s">
        <v>4236</v>
      </c>
      <c r="L73" t="s">
        <v>79</v>
      </c>
      <c r="M73" t="s">
        <v>72</v>
      </c>
      <c r="R73" t="s">
        <v>4237</v>
      </c>
      <c r="W73" t="s">
        <v>4236</v>
      </c>
      <c r="X73" t="s">
        <v>290</v>
      </c>
      <c r="Y73" t="s">
        <v>117</v>
      </c>
      <c r="Z73" t="s">
        <v>73</v>
      </c>
      <c r="AA73" t="str">
        <f t="shared" si="2"/>
        <v>14263-0001</v>
      </c>
      <c r="AB73" t="s">
        <v>74</v>
      </c>
      <c r="AC73" t="s">
        <v>75</v>
      </c>
      <c r="AD73" t="s">
        <v>72</v>
      </c>
      <c r="AE73" t="s">
        <v>76</v>
      </c>
      <c r="AF73" t="s">
        <v>4043</v>
      </c>
      <c r="AG73" t="s">
        <v>77</v>
      </c>
    </row>
    <row r="74" spans="1:33" x14ac:dyDescent="0.25">
      <c r="A74" t="str">
        <f>"1184814766"</f>
        <v>1184814766</v>
      </c>
      <c r="B74" t="str">
        <f>"03572901"</f>
        <v>03572901</v>
      </c>
      <c r="C74" t="s">
        <v>4238</v>
      </c>
      <c r="D74" t="s">
        <v>4239</v>
      </c>
      <c r="E74" t="s">
        <v>4240</v>
      </c>
      <c r="L74" t="s">
        <v>79</v>
      </c>
      <c r="M74" t="s">
        <v>72</v>
      </c>
      <c r="R74" t="s">
        <v>4241</v>
      </c>
      <c r="W74" t="s">
        <v>4240</v>
      </c>
      <c r="X74" t="s">
        <v>204</v>
      </c>
      <c r="Y74" t="s">
        <v>117</v>
      </c>
      <c r="Z74" t="s">
        <v>73</v>
      </c>
      <c r="AA74" t="str">
        <f t="shared" si="2"/>
        <v>14263-0001</v>
      </c>
      <c r="AB74" t="s">
        <v>74</v>
      </c>
      <c r="AC74" t="s">
        <v>75</v>
      </c>
      <c r="AD74" t="s">
        <v>72</v>
      </c>
      <c r="AE74" t="s">
        <v>76</v>
      </c>
      <c r="AF74" t="s">
        <v>4043</v>
      </c>
      <c r="AG74" t="s">
        <v>77</v>
      </c>
    </row>
    <row r="75" spans="1:33" x14ac:dyDescent="0.25">
      <c r="A75" t="str">
        <f>"1962676056"</f>
        <v>1962676056</v>
      </c>
      <c r="B75" t="str">
        <f>"03304372"</f>
        <v>03304372</v>
      </c>
      <c r="C75" t="s">
        <v>4242</v>
      </c>
      <c r="D75" t="s">
        <v>4243</v>
      </c>
      <c r="E75" t="s">
        <v>4244</v>
      </c>
      <c r="L75" t="s">
        <v>79</v>
      </c>
      <c r="M75" t="s">
        <v>72</v>
      </c>
      <c r="R75" t="s">
        <v>4245</v>
      </c>
      <c r="W75" t="s">
        <v>4244</v>
      </c>
      <c r="X75" t="s">
        <v>138</v>
      </c>
      <c r="Y75" t="s">
        <v>137</v>
      </c>
      <c r="Z75" t="s">
        <v>73</v>
      </c>
      <c r="AA75" t="str">
        <f>"11794-0001"</f>
        <v>11794-0001</v>
      </c>
      <c r="AB75" t="s">
        <v>74</v>
      </c>
      <c r="AC75" t="s">
        <v>75</v>
      </c>
      <c r="AD75" t="s">
        <v>72</v>
      </c>
      <c r="AE75" t="s">
        <v>76</v>
      </c>
      <c r="AF75" t="s">
        <v>4043</v>
      </c>
      <c r="AG75" t="s">
        <v>77</v>
      </c>
    </row>
    <row r="76" spans="1:33" x14ac:dyDescent="0.25">
      <c r="A76" t="str">
        <f>"1124108998"</f>
        <v>1124108998</v>
      </c>
      <c r="B76" t="str">
        <f>"03226262"</f>
        <v>03226262</v>
      </c>
      <c r="C76" t="s">
        <v>4246</v>
      </c>
      <c r="D76" t="s">
        <v>2617</v>
      </c>
      <c r="E76" t="s">
        <v>2618</v>
      </c>
      <c r="L76" t="s">
        <v>79</v>
      </c>
      <c r="M76" t="s">
        <v>72</v>
      </c>
      <c r="R76" t="s">
        <v>2619</v>
      </c>
      <c r="W76" t="s">
        <v>2618</v>
      </c>
      <c r="X76" t="s">
        <v>204</v>
      </c>
      <c r="Y76" t="s">
        <v>117</v>
      </c>
      <c r="Z76" t="s">
        <v>73</v>
      </c>
      <c r="AA76" t="str">
        <f>"14263-0001"</f>
        <v>14263-0001</v>
      </c>
      <c r="AB76" t="s">
        <v>74</v>
      </c>
      <c r="AC76" t="s">
        <v>75</v>
      </c>
      <c r="AD76" t="s">
        <v>72</v>
      </c>
      <c r="AE76" t="s">
        <v>76</v>
      </c>
      <c r="AF76" t="s">
        <v>4043</v>
      </c>
      <c r="AG76" t="s">
        <v>77</v>
      </c>
    </row>
    <row r="77" spans="1:33" x14ac:dyDescent="0.25">
      <c r="A77" t="str">
        <f>"1518963305"</f>
        <v>1518963305</v>
      </c>
      <c r="B77" t="str">
        <f>"01436222"</f>
        <v>01436222</v>
      </c>
      <c r="C77" t="s">
        <v>4247</v>
      </c>
      <c r="D77" t="s">
        <v>4248</v>
      </c>
      <c r="E77" t="s">
        <v>4249</v>
      </c>
      <c r="L77" t="s">
        <v>79</v>
      </c>
      <c r="M77" t="s">
        <v>72</v>
      </c>
      <c r="R77" t="s">
        <v>3944</v>
      </c>
      <c r="W77" t="s">
        <v>4249</v>
      </c>
      <c r="X77" t="s">
        <v>400</v>
      </c>
      <c r="Y77" t="s">
        <v>117</v>
      </c>
      <c r="Z77" t="s">
        <v>73</v>
      </c>
      <c r="AA77" t="str">
        <f>"14263-0001"</f>
        <v>14263-0001</v>
      </c>
      <c r="AB77" t="s">
        <v>74</v>
      </c>
      <c r="AC77" t="s">
        <v>75</v>
      </c>
      <c r="AD77" t="s">
        <v>72</v>
      </c>
      <c r="AE77" t="s">
        <v>76</v>
      </c>
      <c r="AG77" t="s">
        <v>77</v>
      </c>
    </row>
    <row r="78" spans="1:33" x14ac:dyDescent="0.25">
      <c r="A78" t="str">
        <f>"1477559359"</f>
        <v>1477559359</v>
      </c>
      <c r="B78" t="str">
        <f>"02397184"</f>
        <v>02397184</v>
      </c>
      <c r="C78" t="s">
        <v>4250</v>
      </c>
      <c r="D78" t="s">
        <v>710</v>
      </c>
      <c r="E78" t="s">
        <v>711</v>
      </c>
      <c r="L78" t="s">
        <v>79</v>
      </c>
      <c r="M78" t="s">
        <v>72</v>
      </c>
      <c r="R78" t="s">
        <v>712</v>
      </c>
      <c r="W78" t="s">
        <v>711</v>
      </c>
      <c r="X78" t="s">
        <v>713</v>
      </c>
      <c r="Y78" t="s">
        <v>117</v>
      </c>
      <c r="Z78" t="s">
        <v>73</v>
      </c>
      <c r="AA78" t="str">
        <f>"14263-0001"</f>
        <v>14263-0001</v>
      </c>
      <c r="AB78" t="s">
        <v>74</v>
      </c>
      <c r="AC78" t="s">
        <v>75</v>
      </c>
      <c r="AD78" t="s">
        <v>72</v>
      </c>
      <c r="AE78" t="s">
        <v>76</v>
      </c>
      <c r="AF78" t="s">
        <v>4043</v>
      </c>
      <c r="AG78" t="s">
        <v>77</v>
      </c>
    </row>
    <row r="79" spans="1:33" x14ac:dyDescent="0.25">
      <c r="A79" t="str">
        <f>"1588812762"</f>
        <v>1588812762</v>
      </c>
      <c r="B79" t="str">
        <f>"03400162"</f>
        <v>03400162</v>
      </c>
      <c r="C79" t="s">
        <v>4251</v>
      </c>
      <c r="D79" t="s">
        <v>4252</v>
      </c>
      <c r="E79" t="s">
        <v>4253</v>
      </c>
      <c r="L79" t="s">
        <v>79</v>
      </c>
      <c r="M79" t="s">
        <v>72</v>
      </c>
      <c r="R79" t="s">
        <v>4253</v>
      </c>
      <c r="W79" t="s">
        <v>4254</v>
      </c>
      <c r="X79" t="s">
        <v>204</v>
      </c>
      <c r="Y79" t="s">
        <v>117</v>
      </c>
      <c r="Z79" t="s">
        <v>73</v>
      </c>
      <c r="AA79" t="str">
        <f>"14263-0001"</f>
        <v>14263-0001</v>
      </c>
      <c r="AB79" t="s">
        <v>74</v>
      </c>
      <c r="AC79" t="s">
        <v>75</v>
      </c>
      <c r="AD79" t="s">
        <v>72</v>
      </c>
      <c r="AE79" t="s">
        <v>76</v>
      </c>
      <c r="AF79" t="s">
        <v>4043</v>
      </c>
      <c r="AG79" t="s">
        <v>77</v>
      </c>
    </row>
    <row r="80" spans="1:33" x14ac:dyDescent="0.25">
      <c r="A80" t="str">
        <f>"1912943010"</f>
        <v>1912943010</v>
      </c>
      <c r="B80" t="str">
        <f>"03439787"</f>
        <v>03439787</v>
      </c>
      <c r="C80" t="s">
        <v>4255</v>
      </c>
      <c r="D80" t="s">
        <v>4256</v>
      </c>
      <c r="E80" t="s">
        <v>4257</v>
      </c>
      <c r="L80" t="s">
        <v>79</v>
      </c>
      <c r="M80" t="s">
        <v>72</v>
      </c>
      <c r="R80" t="s">
        <v>4258</v>
      </c>
      <c r="W80" t="s">
        <v>4257</v>
      </c>
      <c r="X80" t="s">
        <v>4259</v>
      </c>
      <c r="Y80" t="s">
        <v>3933</v>
      </c>
      <c r="Z80" t="s">
        <v>147</v>
      </c>
      <c r="AA80" t="str">
        <f>"32608-1136"</f>
        <v>32608-1136</v>
      </c>
      <c r="AB80" t="s">
        <v>74</v>
      </c>
      <c r="AC80" t="s">
        <v>75</v>
      </c>
      <c r="AD80" t="s">
        <v>72</v>
      </c>
      <c r="AE80" t="s">
        <v>76</v>
      </c>
      <c r="AF80" t="s">
        <v>4043</v>
      </c>
      <c r="AG80" t="s">
        <v>77</v>
      </c>
    </row>
    <row r="81" spans="1:33" x14ac:dyDescent="0.25">
      <c r="A81" t="str">
        <f>"1831195726"</f>
        <v>1831195726</v>
      </c>
      <c r="B81" t="str">
        <f>"01782943"</f>
        <v>01782943</v>
      </c>
      <c r="C81" t="s">
        <v>4260</v>
      </c>
      <c r="D81" t="s">
        <v>4261</v>
      </c>
      <c r="E81" t="s">
        <v>4262</v>
      </c>
      <c r="L81" t="s">
        <v>92</v>
      </c>
      <c r="M81" t="s">
        <v>72</v>
      </c>
      <c r="R81" t="s">
        <v>4263</v>
      </c>
      <c r="W81" t="s">
        <v>4262</v>
      </c>
      <c r="X81" t="s">
        <v>4264</v>
      </c>
      <c r="Y81" t="s">
        <v>117</v>
      </c>
      <c r="Z81" t="s">
        <v>73</v>
      </c>
      <c r="AA81" t="str">
        <f t="shared" ref="AA81:AA89" si="3">"14263-0001"</f>
        <v>14263-0001</v>
      </c>
      <c r="AB81" t="s">
        <v>74</v>
      </c>
      <c r="AC81" t="s">
        <v>75</v>
      </c>
      <c r="AD81" t="s">
        <v>72</v>
      </c>
      <c r="AE81" t="s">
        <v>76</v>
      </c>
      <c r="AF81" t="s">
        <v>4043</v>
      </c>
      <c r="AG81" t="s">
        <v>77</v>
      </c>
    </row>
    <row r="82" spans="1:33" x14ac:dyDescent="0.25">
      <c r="A82" t="str">
        <f>"1235349275"</f>
        <v>1235349275</v>
      </c>
      <c r="B82" t="str">
        <f>"03725399"</f>
        <v>03725399</v>
      </c>
      <c r="C82" t="s">
        <v>4265</v>
      </c>
      <c r="D82" t="s">
        <v>4266</v>
      </c>
      <c r="E82" t="s">
        <v>4267</v>
      </c>
      <c r="L82" t="s">
        <v>71</v>
      </c>
      <c r="M82" t="s">
        <v>72</v>
      </c>
      <c r="R82" t="s">
        <v>4268</v>
      </c>
      <c r="W82" t="s">
        <v>4267</v>
      </c>
      <c r="X82" t="s">
        <v>204</v>
      </c>
      <c r="Y82" t="s">
        <v>117</v>
      </c>
      <c r="Z82" t="s">
        <v>73</v>
      </c>
      <c r="AA82" t="str">
        <f t="shared" si="3"/>
        <v>14263-0001</v>
      </c>
      <c r="AB82" t="s">
        <v>74</v>
      </c>
      <c r="AC82" t="s">
        <v>75</v>
      </c>
      <c r="AD82" t="s">
        <v>72</v>
      </c>
      <c r="AE82" t="s">
        <v>76</v>
      </c>
      <c r="AF82" t="s">
        <v>4043</v>
      </c>
      <c r="AG82" t="s">
        <v>77</v>
      </c>
    </row>
    <row r="83" spans="1:33" x14ac:dyDescent="0.25">
      <c r="A83" t="str">
        <f>"1285991638"</f>
        <v>1285991638</v>
      </c>
      <c r="B83" t="str">
        <f>"04006199"</f>
        <v>04006199</v>
      </c>
      <c r="C83" t="s">
        <v>4269</v>
      </c>
      <c r="D83" t="s">
        <v>4270</v>
      </c>
      <c r="E83" t="s">
        <v>4271</v>
      </c>
      <c r="L83" t="s">
        <v>71</v>
      </c>
      <c r="M83" t="s">
        <v>72</v>
      </c>
      <c r="R83" t="s">
        <v>4272</v>
      </c>
      <c r="W83" t="s">
        <v>4273</v>
      </c>
      <c r="X83" t="s">
        <v>204</v>
      </c>
      <c r="Y83" t="s">
        <v>117</v>
      </c>
      <c r="Z83" t="s">
        <v>73</v>
      </c>
      <c r="AA83" t="str">
        <f t="shared" si="3"/>
        <v>14263-0001</v>
      </c>
      <c r="AB83" t="s">
        <v>74</v>
      </c>
      <c r="AC83" t="s">
        <v>75</v>
      </c>
      <c r="AD83" t="s">
        <v>72</v>
      </c>
      <c r="AE83" t="s">
        <v>76</v>
      </c>
      <c r="AF83" t="s">
        <v>4043</v>
      </c>
      <c r="AG83" t="s">
        <v>77</v>
      </c>
    </row>
    <row r="84" spans="1:33" x14ac:dyDescent="0.25">
      <c r="A84" t="str">
        <f>"1851575088"</f>
        <v>1851575088</v>
      </c>
      <c r="B84" t="str">
        <f>"03496531"</f>
        <v>03496531</v>
      </c>
      <c r="C84" t="s">
        <v>4274</v>
      </c>
      <c r="D84" t="s">
        <v>3344</v>
      </c>
      <c r="E84" t="s">
        <v>3345</v>
      </c>
      <c r="L84" t="s">
        <v>71</v>
      </c>
      <c r="M84" t="s">
        <v>72</v>
      </c>
      <c r="R84" t="s">
        <v>3345</v>
      </c>
      <c r="W84" t="s">
        <v>3345</v>
      </c>
      <c r="X84" t="s">
        <v>204</v>
      </c>
      <c r="Y84" t="s">
        <v>117</v>
      </c>
      <c r="Z84" t="s">
        <v>73</v>
      </c>
      <c r="AA84" t="str">
        <f t="shared" si="3"/>
        <v>14263-0001</v>
      </c>
      <c r="AB84" t="s">
        <v>74</v>
      </c>
      <c r="AC84" t="s">
        <v>75</v>
      </c>
      <c r="AD84" t="s">
        <v>72</v>
      </c>
      <c r="AE84" t="s">
        <v>76</v>
      </c>
      <c r="AF84" t="s">
        <v>4043</v>
      </c>
      <c r="AG84" t="s">
        <v>77</v>
      </c>
    </row>
    <row r="85" spans="1:33" x14ac:dyDescent="0.25">
      <c r="A85" t="str">
        <f>"1952354649"</f>
        <v>1952354649</v>
      </c>
      <c r="B85" t="str">
        <f>"02752216"</f>
        <v>02752216</v>
      </c>
      <c r="C85" t="s">
        <v>4275</v>
      </c>
      <c r="D85" t="s">
        <v>4276</v>
      </c>
      <c r="E85" t="s">
        <v>4277</v>
      </c>
      <c r="L85" t="s">
        <v>79</v>
      </c>
      <c r="M85" t="s">
        <v>72</v>
      </c>
      <c r="R85" t="s">
        <v>4278</v>
      </c>
      <c r="W85" t="s">
        <v>4277</v>
      </c>
      <c r="X85" t="s">
        <v>204</v>
      </c>
      <c r="Y85" t="s">
        <v>117</v>
      </c>
      <c r="Z85" t="s">
        <v>73</v>
      </c>
      <c r="AA85" t="str">
        <f t="shared" si="3"/>
        <v>14263-0001</v>
      </c>
      <c r="AB85" t="s">
        <v>74</v>
      </c>
      <c r="AC85" t="s">
        <v>75</v>
      </c>
      <c r="AD85" t="s">
        <v>72</v>
      </c>
      <c r="AE85" t="s">
        <v>76</v>
      </c>
      <c r="AF85" t="s">
        <v>4043</v>
      </c>
      <c r="AG85" t="s">
        <v>77</v>
      </c>
    </row>
    <row r="86" spans="1:33" x14ac:dyDescent="0.25">
      <c r="A86" t="str">
        <f>"1528064417"</f>
        <v>1528064417</v>
      </c>
      <c r="B86" t="str">
        <f>"02319006"</f>
        <v>02319006</v>
      </c>
      <c r="C86" t="s">
        <v>4279</v>
      </c>
      <c r="D86" t="s">
        <v>4280</v>
      </c>
      <c r="E86" t="s">
        <v>4281</v>
      </c>
      <c r="L86" t="s">
        <v>71</v>
      </c>
      <c r="M86" t="s">
        <v>72</v>
      </c>
      <c r="R86" t="s">
        <v>4282</v>
      </c>
      <c r="W86" t="s">
        <v>4281</v>
      </c>
      <c r="X86" t="s">
        <v>204</v>
      </c>
      <c r="Y86" t="s">
        <v>117</v>
      </c>
      <c r="Z86" t="s">
        <v>73</v>
      </c>
      <c r="AA86" t="str">
        <f t="shared" si="3"/>
        <v>14263-0001</v>
      </c>
      <c r="AB86" t="s">
        <v>74</v>
      </c>
      <c r="AC86" t="s">
        <v>75</v>
      </c>
      <c r="AD86" t="s">
        <v>72</v>
      </c>
      <c r="AE86" t="s">
        <v>76</v>
      </c>
      <c r="AF86" t="s">
        <v>4043</v>
      </c>
      <c r="AG86" t="s">
        <v>77</v>
      </c>
    </row>
    <row r="87" spans="1:33" x14ac:dyDescent="0.25">
      <c r="A87" t="str">
        <f>"1891792982"</f>
        <v>1891792982</v>
      </c>
      <c r="B87" t="str">
        <f>"02564363"</f>
        <v>02564363</v>
      </c>
      <c r="C87" t="s">
        <v>4283</v>
      </c>
      <c r="D87" t="s">
        <v>4284</v>
      </c>
      <c r="E87" t="s">
        <v>4285</v>
      </c>
      <c r="L87" t="s">
        <v>79</v>
      </c>
      <c r="M87" t="s">
        <v>72</v>
      </c>
      <c r="R87" t="s">
        <v>4286</v>
      </c>
      <c r="W87" t="s">
        <v>4285</v>
      </c>
      <c r="X87" t="s">
        <v>290</v>
      </c>
      <c r="Y87" t="s">
        <v>117</v>
      </c>
      <c r="Z87" t="s">
        <v>73</v>
      </c>
      <c r="AA87" t="str">
        <f t="shared" si="3"/>
        <v>14263-0001</v>
      </c>
      <c r="AB87" t="s">
        <v>74</v>
      </c>
      <c r="AC87" t="s">
        <v>75</v>
      </c>
      <c r="AD87" t="s">
        <v>72</v>
      </c>
      <c r="AE87" t="s">
        <v>76</v>
      </c>
      <c r="AF87" t="s">
        <v>4043</v>
      </c>
      <c r="AG87" t="s">
        <v>77</v>
      </c>
    </row>
    <row r="88" spans="1:33" x14ac:dyDescent="0.25">
      <c r="A88" t="str">
        <f>"1497738793"</f>
        <v>1497738793</v>
      </c>
      <c r="B88" t="str">
        <f>"02657376"</f>
        <v>02657376</v>
      </c>
      <c r="C88" t="s">
        <v>4287</v>
      </c>
      <c r="D88" t="s">
        <v>4288</v>
      </c>
      <c r="E88" t="s">
        <v>4289</v>
      </c>
      <c r="L88" t="s">
        <v>71</v>
      </c>
      <c r="M88" t="s">
        <v>72</v>
      </c>
      <c r="R88" t="s">
        <v>4290</v>
      </c>
      <c r="W88" t="s">
        <v>4289</v>
      </c>
      <c r="X88" t="s">
        <v>204</v>
      </c>
      <c r="Y88" t="s">
        <v>117</v>
      </c>
      <c r="Z88" t="s">
        <v>73</v>
      </c>
      <c r="AA88" t="str">
        <f t="shared" si="3"/>
        <v>14263-0001</v>
      </c>
      <c r="AB88" t="s">
        <v>74</v>
      </c>
      <c r="AC88" t="s">
        <v>75</v>
      </c>
      <c r="AD88" t="s">
        <v>72</v>
      </c>
      <c r="AE88" t="s">
        <v>76</v>
      </c>
      <c r="AF88" t="s">
        <v>4043</v>
      </c>
      <c r="AG88" t="s">
        <v>77</v>
      </c>
    </row>
    <row r="89" spans="1:33" x14ac:dyDescent="0.25">
      <c r="A89" t="str">
        <f>"1073596920"</f>
        <v>1073596920</v>
      </c>
      <c r="B89" t="str">
        <f>"02061329"</f>
        <v>02061329</v>
      </c>
      <c r="C89" t="s">
        <v>4291</v>
      </c>
      <c r="D89" t="s">
        <v>4292</v>
      </c>
      <c r="E89" t="s">
        <v>4293</v>
      </c>
      <c r="L89" t="s">
        <v>79</v>
      </c>
      <c r="M89" t="s">
        <v>72</v>
      </c>
      <c r="R89" t="s">
        <v>4294</v>
      </c>
      <c r="W89" t="s">
        <v>4293</v>
      </c>
      <c r="X89" t="s">
        <v>204</v>
      </c>
      <c r="Y89" t="s">
        <v>117</v>
      </c>
      <c r="Z89" t="s">
        <v>73</v>
      </c>
      <c r="AA89" t="str">
        <f t="shared" si="3"/>
        <v>14263-0001</v>
      </c>
      <c r="AB89" t="s">
        <v>74</v>
      </c>
      <c r="AC89" t="s">
        <v>75</v>
      </c>
      <c r="AD89" t="s">
        <v>72</v>
      </c>
      <c r="AE89" t="s">
        <v>76</v>
      </c>
      <c r="AF89" t="s">
        <v>4043</v>
      </c>
      <c r="AG89" t="s">
        <v>77</v>
      </c>
    </row>
    <row r="90" spans="1:33" x14ac:dyDescent="0.25">
      <c r="A90" t="str">
        <f>"1306262415"</f>
        <v>1306262415</v>
      </c>
      <c r="B90" t="str">
        <f>"03881683"</f>
        <v>03881683</v>
      </c>
      <c r="C90" t="s">
        <v>4295</v>
      </c>
      <c r="D90" t="s">
        <v>3825</v>
      </c>
      <c r="E90" t="s">
        <v>3826</v>
      </c>
      <c r="L90" t="s">
        <v>80</v>
      </c>
      <c r="M90" t="s">
        <v>72</v>
      </c>
      <c r="R90" t="s">
        <v>3826</v>
      </c>
      <c r="W90" t="s">
        <v>3827</v>
      </c>
      <c r="X90" t="s">
        <v>3828</v>
      </c>
      <c r="Y90" t="s">
        <v>117</v>
      </c>
      <c r="Z90" t="s">
        <v>73</v>
      </c>
      <c r="AA90" t="str">
        <f>"14201-2398"</f>
        <v>14201-2398</v>
      </c>
      <c r="AB90" t="s">
        <v>74</v>
      </c>
      <c r="AC90" t="s">
        <v>75</v>
      </c>
      <c r="AD90" t="s">
        <v>72</v>
      </c>
      <c r="AE90" t="s">
        <v>76</v>
      </c>
      <c r="AF90" t="s">
        <v>4043</v>
      </c>
      <c r="AG90" t="s">
        <v>77</v>
      </c>
    </row>
    <row r="91" spans="1:33" x14ac:dyDescent="0.25">
      <c r="A91" t="str">
        <f>"1982602769"</f>
        <v>1982602769</v>
      </c>
      <c r="B91" t="str">
        <f>"02323600"</f>
        <v>02323600</v>
      </c>
      <c r="C91" t="s">
        <v>4296</v>
      </c>
      <c r="D91" t="s">
        <v>4297</v>
      </c>
      <c r="E91" t="s">
        <v>4298</v>
      </c>
      <c r="L91" t="s">
        <v>71</v>
      </c>
      <c r="M91" t="s">
        <v>72</v>
      </c>
      <c r="R91" t="s">
        <v>4299</v>
      </c>
      <c r="W91" t="s">
        <v>4300</v>
      </c>
      <c r="X91" t="s">
        <v>2311</v>
      </c>
      <c r="Y91" t="s">
        <v>221</v>
      </c>
      <c r="Z91" t="s">
        <v>73</v>
      </c>
      <c r="AA91" t="str">
        <f>"14221-2700"</f>
        <v>14221-2700</v>
      </c>
      <c r="AB91" t="s">
        <v>74</v>
      </c>
      <c r="AC91" t="s">
        <v>75</v>
      </c>
      <c r="AD91" t="s">
        <v>72</v>
      </c>
      <c r="AE91" t="s">
        <v>76</v>
      </c>
      <c r="AF91" t="s">
        <v>4043</v>
      </c>
      <c r="AG91" t="s">
        <v>77</v>
      </c>
    </row>
    <row r="92" spans="1:33" x14ac:dyDescent="0.25">
      <c r="A92" t="str">
        <f>"1467620013"</f>
        <v>1467620013</v>
      </c>
      <c r="B92" t="str">
        <f>"02959002"</f>
        <v>02959002</v>
      </c>
      <c r="C92" t="s">
        <v>4301</v>
      </c>
      <c r="D92" t="s">
        <v>4302</v>
      </c>
      <c r="E92" t="s">
        <v>4303</v>
      </c>
      <c r="L92" t="s">
        <v>71</v>
      </c>
      <c r="M92" t="s">
        <v>72</v>
      </c>
      <c r="R92" t="s">
        <v>4304</v>
      </c>
      <c r="W92" t="s">
        <v>4303</v>
      </c>
      <c r="X92" t="s">
        <v>204</v>
      </c>
      <c r="Y92" t="s">
        <v>117</v>
      </c>
      <c r="Z92" t="s">
        <v>73</v>
      </c>
      <c r="AA92" t="str">
        <f>"14263-0001"</f>
        <v>14263-0001</v>
      </c>
      <c r="AB92" t="s">
        <v>74</v>
      </c>
      <c r="AC92" t="s">
        <v>75</v>
      </c>
      <c r="AD92" t="s">
        <v>72</v>
      </c>
      <c r="AE92" t="s">
        <v>76</v>
      </c>
      <c r="AF92" t="s">
        <v>4043</v>
      </c>
      <c r="AG92" t="s">
        <v>77</v>
      </c>
    </row>
    <row r="93" spans="1:33" x14ac:dyDescent="0.25">
      <c r="A93" t="str">
        <f>"1720061039"</f>
        <v>1720061039</v>
      </c>
      <c r="B93" t="str">
        <f>"01705320"</f>
        <v>01705320</v>
      </c>
      <c r="C93" t="s">
        <v>4305</v>
      </c>
      <c r="D93" t="s">
        <v>4306</v>
      </c>
      <c r="E93" t="s">
        <v>4307</v>
      </c>
      <c r="L93" t="s">
        <v>79</v>
      </c>
      <c r="M93" t="s">
        <v>72</v>
      </c>
      <c r="R93" t="s">
        <v>4308</v>
      </c>
      <c r="W93" t="s">
        <v>4307</v>
      </c>
      <c r="X93" t="s">
        <v>502</v>
      </c>
      <c r="Y93" t="s">
        <v>503</v>
      </c>
      <c r="Z93" t="s">
        <v>73</v>
      </c>
      <c r="AA93" t="str">
        <f>"14009-1113"</f>
        <v>14009-1113</v>
      </c>
      <c r="AB93" t="s">
        <v>74</v>
      </c>
      <c r="AC93" t="s">
        <v>75</v>
      </c>
      <c r="AD93" t="s">
        <v>72</v>
      </c>
      <c r="AE93" t="s">
        <v>76</v>
      </c>
      <c r="AF93" t="s">
        <v>4043</v>
      </c>
      <c r="AG93" t="s">
        <v>77</v>
      </c>
    </row>
    <row r="94" spans="1:33" x14ac:dyDescent="0.25">
      <c r="A94" t="str">
        <f>"1790768687"</f>
        <v>1790768687</v>
      </c>
      <c r="B94" t="str">
        <f>"01572063"</f>
        <v>01572063</v>
      </c>
      <c r="C94" t="s">
        <v>4309</v>
      </c>
      <c r="D94" t="s">
        <v>4310</v>
      </c>
      <c r="E94" t="s">
        <v>4311</v>
      </c>
      <c r="L94" t="s">
        <v>71</v>
      </c>
      <c r="M94" t="s">
        <v>72</v>
      </c>
      <c r="R94" t="s">
        <v>4312</v>
      </c>
      <c r="W94" t="s">
        <v>4313</v>
      </c>
      <c r="X94" t="s">
        <v>4314</v>
      </c>
      <c r="Y94" t="s">
        <v>117</v>
      </c>
      <c r="Z94" t="s">
        <v>73</v>
      </c>
      <c r="AA94" t="str">
        <f>"14263-0001"</f>
        <v>14263-0001</v>
      </c>
      <c r="AB94" t="s">
        <v>74</v>
      </c>
      <c r="AC94" t="s">
        <v>75</v>
      </c>
      <c r="AD94" t="s">
        <v>72</v>
      </c>
      <c r="AE94" t="s">
        <v>76</v>
      </c>
      <c r="AF94" t="s">
        <v>4043</v>
      </c>
      <c r="AG94" t="s">
        <v>77</v>
      </c>
    </row>
    <row r="95" spans="1:33" x14ac:dyDescent="0.25">
      <c r="A95" t="str">
        <f>"1497738611"</f>
        <v>1497738611</v>
      </c>
      <c r="B95" t="str">
        <f>"01790683"</f>
        <v>01790683</v>
      </c>
      <c r="C95" t="s">
        <v>4315</v>
      </c>
      <c r="D95" t="s">
        <v>4316</v>
      </c>
      <c r="E95" t="s">
        <v>4317</v>
      </c>
      <c r="L95" t="s">
        <v>79</v>
      </c>
      <c r="M95" t="s">
        <v>72</v>
      </c>
      <c r="R95" t="s">
        <v>4318</v>
      </c>
      <c r="W95" t="s">
        <v>4317</v>
      </c>
      <c r="X95" t="s">
        <v>204</v>
      </c>
      <c r="Y95" t="s">
        <v>117</v>
      </c>
      <c r="Z95" t="s">
        <v>73</v>
      </c>
      <c r="AA95" t="str">
        <f>"14263-0001"</f>
        <v>14263-0001</v>
      </c>
      <c r="AB95" t="s">
        <v>74</v>
      </c>
      <c r="AC95" t="s">
        <v>75</v>
      </c>
      <c r="AD95" t="s">
        <v>72</v>
      </c>
      <c r="AE95" t="s">
        <v>76</v>
      </c>
      <c r="AF95" t="s">
        <v>4043</v>
      </c>
      <c r="AG95" t="s">
        <v>77</v>
      </c>
    </row>
    <row r="96" spans="1:33" x14ac:dyDescent="0.25">
      <c r="A96" t="str">
        <f>"1538231196"</f>
        <v>1538231196</v>
      </c>
      <c r="B96" t="str">
        <f>"02837194"</f>
        <v>02837194</v>
      </c>
      <c r="C96" t="s">
        <v>4319</v>
      </c>
      <c r="D96" t="s">
        <v>4320</v>
      </c>
      <c r="E96" t="s">
        <v>4321</v>
      </c>
      <c r="L96" t="s">
        <v>79</v>
      </c>
      <c r="M96" t="s">
        <v>72</v>
      </c>
      <c r="R96" t="s">
        <v>4322</v>
      </c>
      <c r="W96" t="s">
        <v>4323</v>
      </c>
      <c r="X96" t="s">
        <v>204</v>
      </c>
      <c r="Y96" t="s">
        <v>117</v>
      </c>
      <c r="Z96" t="s">
        <v>73</v>
      </c>
      <c r="AA96" t="str">
        <f>"14263-0001"</f>
        <v>14263-0001</v>
      </c>
      <c r="AB96" t="s">
        <v>74</v>
      </c>
      <c r="AC96" t="s">
        <v>75</v>
      </c>
      <c r="AD96" t="s">
        <v>72</v>
      </c>
      <c r="AE96" t="s">
        <v>76</v>
      </c>
      <c r="AF96" t="s">
        <v>4043</v>
      </c>
      <c r="AG96" t="s">
        <v>77</v>
      </c>
    </row>
    <row r="97" spans="1:33" x14ac:dyDescent="0.25">
      <c r="A97" t="str">
        <f>"1326013152"</f>
        <v>1326013152</v>
      </c>
      <c r="B97" t="str">
        <f>"02663761"</f>
        <v>02663761</v>
      </c>
      <c r="C97" t="s">
        <v>4324</v>
      </c>
      <c r="D97" t="s">
        <v>4325</v>
      </c>
      <c r="E97" t="s">
        <v>4326</v>
      </c>
      <c r="L97" t="s">
        <v>71</v>
      </c>
      <c r="M97" t="s">
        <v>72</v>
      </c>
      <c r="R97" t="s">
        <v>4327</v>
      </c>
      <c r="W97" t="s">
        <v>4326</v>
      </c>
      <c r="X97" t="s">
        <v>243</v>
      </c>
      <c r="Y97" t="s">
        <v>117</v>
      </c>
      <c r="Z97" t="s">
        <v>73</v>
      </c>
      <c r="AA97" t="str">
        <f>"14203-1126"</f>
        <v>14203-1126</v>
      </c>
      <c r="AB97" t="s">
        <v>74</v>
      </c>
      <c r="AC97" t="s">
        <v>75</v>
      </c>
      <c r="AD97" t="s">
        <v>72</v>
      </c>
      <c r="AE97" t="s">
        <v>76</v>
      </c>
      <c r="AF97" t="s">
        <v>4043</v>
      </c>
      <c r="AG97" t="s">
        <v>77</v>
      </c>
    </row>
    <row r="98" spans="1:33" x14ac:dyDescent="0.25">
      <c r="A98" t="str">
        <f>"1073596110"</f>
        <v>1073596110</v>
      </c>
      <c r="B98" t="str">
        <f>"01691881"</f>
        <v>01691881</v>
      </c>
      <c r="C98" t="s">
        <v>4328</v>
      </c>
      <c r="D98" t="s">
        <v>4329</v>
      </c>
      <c r="E98" t="s">
        <v>4330</v>
      </c>
      <c r="L98" t="s">
        <v>71</v>
      </c>
      <c r="M98" t="s">
        <v>72</v>
      </c>
      <c r="R98" t="s">
        <v>4331</v>
      </c>
      <c r="W98" t="s">
        <v>4332</v>
      </c>
      <c r="X98" t="s">
        <v>204</v>
      </c>
      <c r="Y98" t="s">
        <v>117</v>
      </c>
      <c r="Z98" t="s">
        <v>73</v>
      </c>
      <c r="AA98" t="str">
        <f>"14263-0001"</f>
        <v>14263-0001</v>
      </c>
      <c r="AB98" t="s">
        <v>74</v>
      </c>
      <c r="AC98" t="s">
        <v>75</v>
      </c>
      <c r="AD98" t="s">
        <v>72</v>
      </c>
      <c r="AE98" t="s">
        <v>76</v>
      </c>
      <c r="AF98" t="s">
        <v>4043</v>
      </c>
      <c r="AG98" t="s">
        <v>77</v>
      </c>
    </row>
    <row r="99" spans="1:33" x14ac:dyDescent="0.25">
      <c r="A99" t="str">
        <f>"1174868608"</f>
        <v>1174868608</v>
      </c>
      <c r="B99" t="str">
        <f>"03529999"</f>
        <v>03529999</v>
      </c>
      <c r="C99" t="s">
        <v>4333</v>
      </c>
      <c r="D99" t="s">
        <v>4334</v>
      </c>
      <c r="E99" t="s">
        <v>4335</v>
      </c>
      <c r="L99" t="s">
        <v>71</v>
      </c>
      <c r="M99" t="s">
        <v>72</v>
      </c>
      <c r="R99" t="s">
        <v>4336</v>
      </c>
      <c r="W99" t="s">
        <v>4335</v>
      </c>
      <c r="X99" t="s">
        <v>204</v>
      </c>
      <c r="Y99" t="s">
        <v>117</v>
      </c>
      <c r="Z99" t="s">
        <v>73</v>
      </c>
      <c r="AA99" t="str">
        <f>"14263-0001"</f>
        <v>14263-0001</v>
      </c>
      <c r="AB99" t="s">
        <v>74</v>
      </c>
      <c r="AC99" t="s">
        <v>75</v>
      </c>
      <c r="AD99" t="s">
        <v>72</v>
      </c>
      <c r="AE99" t="s">
        <v>76</v>
      </c>
      <c r="AF99" t="s">
        <v>4043</v>
      </c>
      <c r="AG99" t="s">
        <v>77</v>
      </c>
    </row>
    <row r="100" spans="1:33" x14ac:dyDescent="0.25">
      <c r="A100" t="str">
        <f>"1598732414"</f>
        <v>1598732414</v>
      </c>
      <c r="B100" t="str">
        <f>"02603327"</f>
        <v>02603327</v>
      </c>
      <c r="C100" t="s">
        <v>4337</v>
      </c>
      <c r="D100" t="s">
        <v>4338</v>
      </c>
      <c r="E100" t="s">
        <v>4339</v>
      </c>
      <c r="L100" t="s">
        <v>71</v>
      </c>
      <c r="M100" t="s">
        <v>72</v>
      </c>
      <c r="R100" t="s">
        <v>4340</v>
      </c>
      <c r="W100" t="s">
        <v>4341</v>
      </c>
      <c r="X100" t="s">
        <v>342</v>
      </c>
      <c r="Y100" t="s">
        <v>343</v>
      </c>
      <c r="Z100" t="s">
        <v>73</v>
      </c>
      <c r="AA100" t="str">
        <f>"14411-1644"</f>
        <v>14411-1644</v>
      </c>
      <c r="AB100" t="s">
        <v>74</v>
      </c>
      <c r="AC100" t="s">
        <v>75</v>
      </c>
      <c r="AD100" t="s">
        <v>72</v>
      </c>
      <c r="AE100" t="s">
        <v>76</v>
      </c>
      <c r="AF100" t="s">
        <v>4043</v>
      </c>
      <c r="AG100" t="s">
        <v>77</v>
      </c>
    </row>
    <row r="101" spans="1:33" x14ac:dyDescent="0.25">
      <c r="A101" t="str">
        <f>"1881940831"</f>
        <v>1881940831</v>
      </c>
      <c r="B101" t="str">
        <f>"03496206"</f>
        <v>03496206</v>
      </c>
      <c r="C101" t="s">
        <v>4342</v>
      </c>
      <c r="D101" t="s">
        <v>4343</v>
      </c>
      <c r="E101" t="s">
        <v>4344</v>
      </c>
      <c r="L101" t="s">
        <v>71</v>
      </c>
      <c r="M101" t="s">
        <v>72</v>
      </c>
      <c r="R101" t="s">
        <v>4345</v>
      </c>
      <c r="W101" t="s">
        <v>4344</v>
      </c>
      <c r="X101" t="s">
        <v>204</v>
      </c>
      <c r="Y101" t="s">
        <v>117</v>
      </c>
      <c r="Z101" t="s">
        <v>73</v>
      </c>
      <c r="AA101" t="str">
        <f>"14263-0001"</f>
        <v>14263-0001</v>
      </c>
      <c r="AB101" t="s">
        <v>74</v>
      </c>
      <c r="AC101" t="s">
        <v>75</v>
      </c>
      <c r="AD101" t="s">
        <v>72</v>
      </c>
      <c r="AE101" t="s">
        <v>76</v>
      </c>
      <c r="AF101" t="s">
        <v>4043</v>
      </c>
      <c r="AG101" t="s">
        <v>77</v>
      </c>
    </row>
    <row r="102" spans="1:33" x14ac:dyDescent="0.25">
      <c r="A102" t="str">
        <f>"1578546701"</f>
        <v>1578546701</v>
      </c>
      <c r="B102" t="str">
        <f>"02407481"</f>
        <v>02407481</v>
      </c>
      <c r="C102" t="s">
        <v>4346</v>
      </c>
      <c r="D102" t="s">
        <v>4347</v>
      </c>
      <c r="E102" t="s">
        <v>4348</v>
      </c>
      <c r="L102" t="s">
        <v>79</v>
      </c>
      <c r="M102" t="s">
        <v>72</v>
      </c>
      <c r="R102" t="s">
        <v>4349</v>
      </c>
      <c r="W102" t="s">
        <v>4348</v>
      </c>
      <c r="X102" t="s">
        <v>204</v>
      </c>
      <c r="Y102" t="s">
        <v>117</v>
      </c>
      <c r="Z102" t="s">
        <v>73</v>
      </c>
      <c r="AA102" t="str">
        <f>"14263-0001"</f>
        <v>14263-0001</v>
      </c>
      <c r="AB102" t="s">
        <v>74</v>
      </c>
      <c r="AC102" t="s">
        <v>75</v>
      </c>
      <c r="AD102" t="s">
        <v>72</v>
      </c>
      <c r="AE102" t="s">
        <v>76</v>
      </c>
      <c r="AF102" t="s">
        <v>4043</v>
      </c>
      <c r="AG102" t="s">
        <v>77</v>
      </c>
    </row>
    <row r="103" spans="1:33" x14ac:dyDescent="0.25">
      <c r="A103" t="str">
        <f>"1417930645"</f>
        <v>1417930645</v>
      </c>
      <c r="B103" t="str">
        <f>"01481516"</f>
        <v>01481516</v>
      </c>
      <c r="C103" t="s">
        <v>4350</v>
      </c>
      <c r="D103" t="s">
        <v>4351</v>
      </c>
      <c r="E103" t="s">
        <v>4352</v>
      </c>
      <c r="L103" t="s">
        <v>71</v>
      </c>
      <c r="M103" t="s">
        <v>72</v>
      </c>
      <c r="R103" t="s">
        <v>4353</v>
      </c>
      <c r="W103" t="s">
        <v>4354</v>
      </c>
      <c r="X103" t="s">
        <v>204</v>
      </c>
      <c r="Y103" t="s">
        <v>117</v>
      </c>
      <c r="Z103" t="s">
        <v>73</v>
      </c>
      <c r="AA103" t="str">
        <f>"14263-0001"</f>
        <v>14263-0001</v>
      </c>
      <c r="AB103" t="s">
        <v>74</v>
      </c>
      <c r="AC103" t="s">
        <v>75</v>
      </c>
      <c r="AD103" t="s">
        <v>72</v>
      </c>
      <c r="AE103" t="s">
        <v>76</v>
      </c>
      <c r="AF103" t="s">
        <v>4043</v>
      </c>
      <c r="AG103" t="s">
        <v>77</v>
      </c>
    </row>
    <row r="104" spans="1:33" x14ac:dyDescent="0.25">
      <c r="C104" t="s">
        <v>4355</v>
      </c>
      <c r="K104" t="s">
        <v>89</v>
      </c>
      <c r="L104" t="s">
        <v>90</v>
      </c>
      <c r="M104" t="s">
        <v>72</v>
      </c>
      <c r="AC104" t="s">
        <v>75</v>
      </c>
      <c r="AD104" t="s">
        <v>72</v>
      </c>
      <c r="AE104" t="s">
        <v>91</v>
      </c>
      <c r="AF104" t="s">
        <v>4043</v>
      </c>
      <c r="AG104" t="s">
        <v>77</v>
      </c>
    </row>
    <row r="105" spans="1:33" x14ac:dyDescent="0.25">
      <c r="A105" t="str">
        <f>"1467435594"</f>
        <v>1467435594</v>
      </c>
      <c r="B105" t="str">
        <f>"02631441"</f>
        <v>02631441</v>
      </c>
      <c r="C105" t="s">
        <v>4356</v>
      </c>
      <c r="D105" t="s">
        <v>4357</v>
      </c>
      <c r="E105" t="s">
        <v>4358</v>
      </c>
      <c r="L105" t="s">
        <v>71</v>
      </c>
      <c r="M105" t="s">
        <v>72</v>
      </c>
      <c r="R105" t="s">
        <v>4359</v>
      </c>
      <c r="W105" t="s">
        <v>4360</v>
      </c>
      <c r="X105" t="s">
        <v>204</v>
      </c>
      <c r="Y105" t="s">
        <v>117</v>
      </c>
      <c r="Z105" t="s">
        <v>73</v>
      </c>
      <c r="AA105" t="str">
        <f>"14263-0001"</f>
        <v>14263-0001</v>
      </c>
      <c r="AB105" t="s">
        <v>74</v>
      </c>
      <c r="AC105" t="s">
        <v>75</v>
      </c>
      <c r="AD105" t="s">
        <v>72</v>
      </c>
      <c r="AE105" t="s">
        <v>76</v>
      </c>
      <c r="AF105" t="s">
        <v>4043</v>
      </c>
      <c r="AG105" t="s">
        <v>77</v>
      </c>
    </row>
    <row r="106" spans="1:33" x14ac:dyDescent="0.25">
      <c r="A106" t="str">
        <f>"1275785396"</f>
        <v>1275785396</v>
      </c>
      <c r="B106" t="str">
        <f>"03073810"</f>
        <v>03073810</v>
      </c>
      <c r="C106" t="s">
        <v>4361</v>
      </c>
      <c r="D106" t="s">
        <v>4362</v>
      </c>
      <c r="E106" t="s">
        <v>4363</v>
      </c>
      <c r="L106" t="s">
        <v>79</v>
      </c>
      <c r="M106" t="s">
        <v>72</v>
      </c>
      <c r="R106" t="s">
        <v>4364</v>
      </c>
      <c r="W106" t="s">
        <v>4363</v>
      </c>
      <c r="X106" t="s">
        <v>1692</v>
      </c>
      <c r="Y106" t="s">
        <v>326</v>
      </c>
      <c r="Z106" t="s">
        <v>73</v>
      </c>
      <c r="AA106" t="str">
        <f>"14127-1577"</f>
        <v>14127-1577</v>
      </c>
      <c r="AB106" t="s">
        <v>74</v>
      </c>
      <c r="AC106" t="s">
        <v>75</v>
      </c>
      <c r="AD106" t="s">
        <v>72</v>
      </c>
      <c r="AE106" t="s">
        <v>76</v>
      </c>
      <c r="AF106" t="s">
        <v>4043</v>
      </c>
      <c r="AG106" t="s">
        <v>77</v>
      </c>
    </row>
    <row r="107" spans="1:33" x14ac:dyDescent="0.25">
      <c r="A107" t="str">
        <f>"1831242973"</f>
        <v>1831242973</v>
      </c>
      <c r="B107" t="str">
        <f>"02857394"</f>
        <v>02857394</v>
      </c>
      <c r="C107" t="s">
        <v>4365</v>
      </c>
      <c r="D107" t="s">
        <v>1277</v>
      </c>
      <c r="E107" t="s">
        <v>1278</v>
      </c>
      <c r="L107" t="s">
        <v>71</v>
      </c>
      <c r="M107" t="s">
        <v>72</v>
      </c>
      <c r="R107" t="s">
        <v>1279</v>
      </c>
      <c r="W107" t="s">
        <v>1278</v>
      </c>
      <c r="X107" t="s">
        <v>1280</v>
      </c>
      <c r="Y107" t="s">
        <v>221</v>
      </c>
      <c r="Z107" t="s">
        <v>73</v>
      </c>
      <c r="AA107" t="str">
        <f>"14221-2320"</f>
        <v>14221-2320</v>
      </c>
      <c r="AB107" t="s">
        <v>74</v>
      </c>
      <c r="AC107" t="s">
        <v>75</v>
      </c>
      <c r="AD107" t="s">
        <v>72</v>
      </c>
      <c r="AE107" t="s">
        <v>76</v>
      </c>
      <c r="AF107" t="s">
        <v>4043</v>
      </c>
      <c r="AG107" t="s">
        <v>77</v>
      </c>
    </row>
    <row r="108" spans="1:33" x14ac:dyDescent="0.25">
      <c r="A108" t="str">
        <f>"1881887537"</f>
        <v>1881887537</v>
      </c>
      <c r="B108" t="str">
        <f>"02902261"</f>
        <v>02902261</v>
      </c>
      <c r="C108" t="s">
        <v>4366</v>
      </c>
      <c r="D108" t="s">
        <v>4367</v>
      </c>
      <c r="E108" t="s">
        <v>4368</v>
      </c>
      <c r="L108" t="s">
        <v>71</v>
      </c>
      <c r="M108" t="s">
        <v>72</v>
      </c>
      <c r="R108" t="s">
        <v>4369</v>
      </c>
      <c r="W108" t="s">
        <v>4368</v>
      </c>
      <c r="X108" t="s">
        <v>243</v>
      </c>
      <c r="Y108" t="s">
        <v>117</v>
      </c>
      <c r="Z108" t="s">
        <v>73</v>
      </c>
      <c r="AA108" t="str">
        <f>"14203-1126"</f>
        <v>14203-1126</v>
      </c>
      <c r="AB108" t="s">
        <v>74</v>
      </c>
      <c r="AC108" t="s">
        <v>75</v>
      </c>
      <c r="AD108" t="s">
        <v>72</v>
      </c>
      <c r="AE108" t="s">
        <v>76</v>
      </c>
      <c r="AF108" t="s">
        <v>4043</v>
      </c>
      <c r="AG108" t="s">
        <v>77</v>
      </c>
    </row>
    <row r="109" spans="1:33" x14ac:dyDescent="0.25">
      <c r="A109" t="str">
        <f>"1134531023"</f>
        <v>1134531023</v>
      </c>
      <c r="B109" t="str">
        <f>"03880595"</f>
        <v>03880595</v>
      </c>
      <c r="C109" t="s">
        <v>4370</v>
      </c>
      <c r="D109" t="s">
        <v>4371</v>
      </c>
      <c r="E109" t="s">
        <v>4372</v>
      </c>
      <c r="L109" t="s">
        <v>71</v>
      </c>
      <c r="M109" t="s">
        <v>72</v>
      </c>
      <c r="R109" t="s">
        <v>4373</v>
      </c>
      <c r="W109" t="s">
        <v>4374</v>
      </c>
      <c r="X109" t="s">
        <v>4375</v>
      </c>
      <c r="Y109" t="s">
        <v>221</v>
      </c>
      <c r="Z109" t="s">
        <v>73</v>
      </c>
      <c r="AA109" t="str">
        <f>"14221-6800"</f>
        <v>14221-6800</v>
      </c>
      <c r="AB109" t="s">
        <v>74</v>
      </c>
      <c r="AC109" t="s">
        <v>75</v>
      </c>
      <c r="AD109" t="s">
        <v>72</v>
      </c>
      <c r="AE109" t="s">
        <v>76</v>
      </c>
      <c r="AF109" t="s">
        <v>4043</v>
      </c>
      <c r="AG109" t="s">
        <v>77</v>
      </c>
    </row>
    <row r="110" spans="1:33" x14ac:dyDescent="0.25">
      <c r="A110" t="str">
        <f>"1982922738"</f>
        <v>1982922738</v>
      </c>
      <c r="B110" t="str">
        <f>"03252279"</f>
        <v>03252279</v>
      </c>
      <c r="C110" t="s">
        <v>4376</v>
      </c>
      <c r="D110" t="s">
        <v>4377</v>
      </c>
      <c r="E110" t="s">
        <v>4378</v>
      </c>
      <c r="L110" t="s">
        <v>79</v>
      </c>
      <c r="M110" t="s">
        <v>72</v>
      </c>
      <c r="R110" t="s">
        <v>4379</v>
      </c>
      <c r="W110" t="s">
        <v>4380</v>
      </c>
      <c r="X110" t="s">
        <v>204</v>
      </c>
      <c r="Y110" t="s">
        <v>117</v>
      </c>
      <c r="Z110" t="s">
        <v>73</v>
      </c>
      <c r="AA110" t="str">
        <f>"14263-0001"</f>
        <v>14263-0001</v>
      </c>
      <c r="AB110" t="s">
        <v>74</v>
      </c>
      <c r="AC110" t="s">
        <v>75</v>
      </c>
      <c r="AD110" t="s">
        <v>72</v>
      </c>
      <c r="AE110" t="s">
        <v>76</v>
      </c>
      <c r="AF110" t="s">
        <v>4043</v>
      </c>
      <c r="AG110" t="s">
        <v>77</v>
      </c>
    </row>
    <row r="111" spans="1:33" x14ac:dyDescent="0.25">
      <c r="A111" t="str">
        <f>"1609859420"</f>
        <v>1609859420</v>
      </c>
      <c r="B111" t="str">
        <f>"02135651"</f>
        <v>02135651</v>
      </c>
      <c r="C111" t="s">
        <v>4381</v>
      </c>
      <c r="D111" t="s">
        <v>4382</v>
      </c>
      <c r="E111" t="s">
        <v>4383</v>
      </c>
      <c r="L111" t="s">
        <v>79</v>
      </c>
      <c r="M111" t="s">
        <v>72</v>
      </c>
      <c r="R111" t="s">
        <v>4384</v>
      </c>
      <c r="W111" t="s">
        <v>4383</v>
      </c>
      <c r="X111" t="s">
        <v>1069</v>
      </c>
      <c r="Y111" t="s">
        <v>237</v>
      </c>
      <c r="Z111" t="s">
        <v>73</v>
      </c>
      <c r="AA111" t="str">
        <f>"14224-2654"</f>
        <v>14224-2654</v>
      </c>
      <c r="AB111" t="s">
        <v>74</v>
      </c>
      <c r="AC111" t="s">
        <v>75</v>
      </c>
      <c r="AD111" t="s">
        <v>72</v>
      </c>
      <c r="AE111" t="s">
        <v>76</v>
      </c>
      <c r="AF111" t="s">
        <v>4043</v>
      </c>
      <c r="AG111" t="s">
        <v>77</v>
      </c>
    </row>
    <row r="112" spans="1:33" x14ac:dyDescent="0.25">
      <c r="A112" t="str">
        <f>"1871576959"</f>
        <v>1871576959</v>
      </c>
      <c r="B112" t="str">
        <f>"02430537"</f>
        <v>02430537</v>
      </c>
      <c r="C112" t="s">
        <v>4385</v>
      </c>
      <c r="D112" t="s">
        <v>4386</v>
      </c>
      <c r="E112" t="s">
        <v>4387</v>
      </c>
      <c r="L112" t="s">
        <v>71</v>
      </c>
      <c r="M112" t="s">
        <v>72</v>
      </c>
      <c r="R112" t="s">
        <v>4388</v>
      </c>
      <c r="W112" t="s">
        <v>4389</v>
      </c>
      <c r="X112" t="s">
        <v>204</v>
      </c>
      <c r="Y112" t="s">
        <v>117</v>
      </c>
      <c r="Z112" t="s">
        <v>73</v>
      </c>
      <c r="AA112" t="str">
        <f t="shared" ref="AA112:AA122" si="4">"14263-0001"</f>
        <v>14263-0001</v>
      </c>
      <c r="AB112" t="s">
        <v>74</v>
      </c>
      <c r="AC112" t="s">
        <v>75</v>
      </c>
      <c r="AD112" t="s">
        <v>72</v>
      </c>
      <c r="AE112" t="s">
        <v>76</v>
      </c>
      <c r="AF112" t="s">
        <v>4043</v>
      </c>
      <c r="AG112" t="s">
        <v>77</v>
      </c>
    </row>
    <row r="113" spans="1:33" x14ac:dyDescent="0.25">
      <c r="A113" t="str">
        <f>"1275730293"</f>
        <v>1275730293</v>
      </c>
      <c r="B113" t="str">
        <f>"03063669"</f>
        <v>03063669</v>
      </c>
      <c r="C113" t="s">
        <v>4390</v>
      </c>
      <c r="D113" t="s">
        <v>4391</v>
      </c>
      <c r="E113" t="s">
        <v>4392</v>
      </c>
      <c r="L113" t="s">
        <v>79</v>
      </c>
      <c r="M113" t="s">
        <v>72</v>
      </c>
      <c r="R113" t="s">
        <v>4393</v>
      </c>
      <c r="W113" t="s">
        <v>4392</v>
      </c>
      <c r="X113" t="s">
        <v>204</v>
      </c>
      <c r="Y113" t="s">
        <v>117</v>
      </c>
      <c r="Z113" t="s">
        <v>73</v>
      </c>
      <c r="AA113" t="str">
        <f t="shared" si="4"/>
        <v>14263-0001</v>
      </c>
      <c r="AB113" t="s">
        <v>74</v>
      </c>
      <c r="AC113" t="s">
        <v>75</v>
      </c>
      <c r="AD113" t="s">
        <v>72</v>
      </c>
      <c r="AE113" t="s">
        <v>76</v>
      </c>
      <c r="AF113" t="s">
        <v>4043</v>
      </c>
      <c r="AG113" t="s">
        <v>77</v>
      </c>
    </row>
    <row r="114" spans="1:33" x14ac:dyDescent="0.25">
      <c r="A114" t="str">
        <f>"1346223112"</f>
        <v>1346223112</v>
      </c>
      <c r="B114" t="str">
        <f>"01533691"</f>
        <v>01533691</v>
      </c>
      <c r="C114" t="s">
        <v>4394</v>
      </c>
      <c r="D114" t="s">
        <v>1827</v>
      </c>
      <c r="E114" t="s">
        <v>1828</v>
      </c>
      <c r="L114" t="s">
        <v>71</v>
      </c>
      <c r="M114" t="s">
        <v>72</v>
      </c>
      <c r="R114" t="s">
        <v>1829</v>
      </c>
      <c r="W114" t="s">
        <v>1828</v>
      </c>
      <c r="X114" t="s">
        <v>204</v>
      </c>
      <c r="Y114" t="s">
        <v>117</v>
      </c>
      <c r="Z114" t="s">
        <v>73</v>
      </c>
      <c r="AA114" t="str">
        <f t="shared" si="4"/>
        <v>14263-0001</v>
      </c>
      <c r="AB114" t="s">
        <v>74</v>
      </c>
      <c r="AC114" t="s">
        <v>75</v>
      </c>
      <c r="AD114" t="s">
        <v>72</v>
      </c>
      <c r="AE114" t="s">
        <v>76</v>
      </c>
      <c r="AF114" t="s">
        <v>4043</v>
      </c>
      <c r="AG114" t="s">
        <v>77</v>
      </c>
    </row>
    <row r="115" spans="1:33" x14ac:dyDescent="0.25">
      <c r="A115" t="str">
        <f>"1700869575"</f>
        <v>1700869575</v>
      </c>
      <c r="B115" t="str">
        <f>"02073494"</f>
        <v>02073494</v>
      </c>
      <c r="C115" t="s">
        <v>4395</v>
      </c>
      <c r="D115" t="s">
        <v>4396</v>
      </c>
      <c r="E115" t="s">
        <v>4397</v>
      </c>
      <c r="L115" t="s">
        <v>79</v>
      </c>
      <c r="M115" t="s">
        <v>72</v>
      </c>
      <c r="R115" t="s">
        <v>4397</v>
      </c>
      <c r="W115" t="s">
        <v>4397</v>
      </c>
      <c r="X115" t="s">
        <v>204</v>
      </c>
      <c r="Y115" t="s">
        <v>117</v>
      </c>
      <c r="Z115" t="s">
        <v>73</v>
      </c>
      <c r="AA115" t="str">
        <f t="shared" si="4"/>
        <v>14263-0001</v>
      </c>
      <c r="AB115" t="s">
        <v>74</v>
      </c>
      <c r="AC115" t="s">
        <v>75</v>
      </c>
      <c r="AD115" t="s">
        <v>72</v>
      </c>
      <c r="AE115" t="s">
        <v>76</v>
      </c>
      <c r="AF115" t="s">
        <v>4043</v>
      </c>
      <c r="AG115" t="s">
        <v>77</v>
      </c>
    </row>
    <row r="116" spans="1:33" x14ac:dyDescent="0.25">
      <c r="A116" t="str">
        <f>"1982687752"</f>
        <v>1982687752</v>
      </c>
      <c r="B116" t="str">
        <f>"02353937"</f>
        <v>02353937</v>
      </c>
      <c r="C116" t="s">
        <v>4398</v>
      </c>
      <c r="D116" t="s">
        <v>4399</v>
      </c>
      <c r="E116" t="s">
        <v>4400</v>
      </c>
      <c r="L116" t="s">
        <v>79</v>
      </c>
      <c r="M116" t="s">
        <v>72</v>
      </c>
      <c r="R116" t="s">
        <v>4401</v>
      </c>
      <c r="W116" t="s">
        <v>4402</v>
      </c>
      <c r="X116" t="s">
        <v>204</v>
      </c>
      <c r="Y116" t="s">
        <v>117</v>
      </c>
      <c r="Z116" t="s">
        <v>73</v>
      </c>
      <c r="AA116" t="str">
        <f t="shared" si="4"/>
        <v>14263-0001</v>
      </c>
      <c r="AB116" t="s">
        <v>74</v>
      </c>
      <c r="AC116" t="s">
        <v>75</v>
      </c>
      <c r="AD116" t="s">
        <v>72</v>
      </c>
      <c r="AE116" t="s">
        <v>76</v>
      </c>
      <c r="AF116" t="s">
        <v>4043</v>
      </c>
      <c r="AG116" t="s">
        <v>77</v>
      </c>
    </row>
    <row r="117" spans="1:33" x14ac:dyDescent="0.25">
      <c r="A117" t="str">
        <f>"1164405932"</f>
        <v>1164405932</v>
      </c>
      <c r="B117" t="str">
        <f>"02610777"</f>
        <v>02610777</v>
      </c>
      <c r="C117" t="s">
        <v>4403</v>
      </c>
      <c r="D117" t="s">
        <v>4404</v>
      </c>
      <c r="E117" t="s">
        <v>4405</v>
      </c>
      <c r="L117" t="s">
        <v>79</v>
      </c>
      <c r="M117" t="s">
        <v>72</v>
      </c>
      <c r="R117" t="s">
        <v>4406</v>
      </c>
      <c r="W117" t="s">
        <v>4405</v>
      </c>
      <c r="X117" t="s">
        <v>2303</v>
      </c>
      <c r="Y117" t="s">
        <v>117</v>
      </c>
      <c r="Z117" t="s">
        <v>73</v>
      </c>
      <c r="AA117" t="str">
        <f t="shared" si="4"/>
        <v>14263-0001</v>
      </c>
      <c r="AB117" t="s">
        <v>74</v>
      </c>
      <c r="AC117" t="s">
        <v>75</v>
      </c>
      <c r="AD117" t="s">
        <v>72</v>
      </c>
      <c r="AE117" t="s">
        <v>76</v>
      </c>
      <c r="AF117" t="s">
        <v>4043</v>
      </c>
      <c r="AG117" t="s">
        <v>77</v>
      </c>
    </row>
    <row r="118" spans="1:33" x14ac:dyDescent="0.25">
      <c r="A118" t="str">
        <f>"1053318832"</f>
        <v>1053318832</v>
      </c>
      <c r="B118" t="str">
        <f>"02325377"</f>
        <v>02325377</v>
      </c>
      <c r="C118" t="s">
        <v>4407</v>
      </c>
      <c r="D118" t="s">
        <v>2151</v>
      </c>
      <c r="E118" t="s">
        <v>2152</v>
      </c>
      <c r="L118" t="s">
        <v>79</v>
      </c>
      <c r="M118" t="s">
        <v>72</v>
      </c>
      <c r="R118" t="s">
        <v>2153</v>
      </c>
      <c r="W118" t="s">
        <v>2152</v>
      </c>
      <c r="X118" t="s">
        <v>204</v>
      </c>
      <c r="Y118" t="s">
        <v>117</v>
      </c>
      <c r="Z118" t="s">
        <v>73</v>
      </c>
      <c r="AA118" t="str">
        <f t="shared" si="4"/>
        <v>14263-0001</v>
      </c>
      <c r="AB118" t="s">
        <v>74</v>
      </c>
      <c r="AC118" t="s">
        <v>75</v>
      </c>
      <c r="AD118" t="s">
        <v>72</v>
      </c>
      <c r="AE118" t="s">
        <v>76</v>
      </c>
      <c r="AF118" t="s">
        <v>4043</v>
      </c>
      <c r="AG118" t="s">
        <v>77</v>
      </c>
    </row>
    <row r="119" spans="1:33" x14ac:dyDescent="0.25">
      <c r="A119" t="str">
        <f>"1255396685"</f>
        <v>1255396685</v>
      </c>
      <c r="B119" t="str">
        <f>"03282033"</f>
        <v>03282033</v>
      </c>
      <c r="C119" t="s">
        <v>4408</v>
      </c>
      <c r="D119" t="s">
        <v>4409</v>
      </c>
      <c r="E119" t="s">
        <v>4410</v>
      </c>
      <c r="L119" t="s">
        <v>79</v>
      </c>
      <c r="M119" t="s">
        <v>72</v>
      </c>
      <c r="R119" t="s">
        <v>4411</v>
      </c>
      <c r="W119" t="s">
        <v>4411</v>
      </c>
      <c r="X119" t="s">
        <v>204</v>
      </c>
      <c r="Y119" t="s">
        <v>117</v>
      </c>
      <c r="Z119" t="s">
        <v>73</v>
      </c>
      <c r="AA119" t="str">
        <f t="shared" si="4"/>
        <v>14263-0001</v>
      </c>
      <c r="AB119" t="s">
        <v>74</v>
      </c>
      <c r="AC119" t="s">
        <v>75</v>
      </c>
      <c r="AD119" t="s">
        <v>72</v>
      </c>
      <c r="AE119" t="s">
        <v>76</v>
      </c>
      <c r="AF119" t="s">
        <v>4043</v>
      </c>
      <c r="AG119" t="s">
        <v>77</v>
      </c>
    </row>
    <row r="120" spans="1:33" x14ac:dyDescent="0.25">
      <c r="A120" t="str">
        <f>"1184767295"</f>
        <v>1184767295</v>
      </c>
      <c r="B120" t="str">
        <f>"03381211"</f>
        <v>03381211</v>
      </c>
      <c r="C120" t="s">
        <v>4412</v>
      </c>
      <c r="D120" t="s">
        <v>4413</v>
      </c>
      <c r="E120" t="s">
        <v>4414</v>
      </c>
      <c r="L120" t="s">
        <v>92</v>
      </c>
      <c r="M120" t="s">
        <v>72</v>
      </c>
      <c r="R120" t="s">
        <v>4415</v>
      </c>
      <c r="W120" t="s">
        <v>4414</v>
      </c>
      <c r="X120" t="s">
        <v>2303</v>
      </c>
      <c r="Y120" t="s">
        <v>117</v>
      </c>
      <c r="Z120" t="s">
        <v>73</v>
      </c>
      <c r="AA120" t="str">
        <f t="shared" si="4"/>
        <v>14263-0001</v>
      </c>
      <c r="AB120" t="s">
        <v>74</v>
      </c>
      <c r="AC120" t="s">
        <v>75</v>
      </c>
      <c r="AD120" t="s">
        <v>72</v>
      </c>
      <c r="AE120" t="s">
        <v>76</v>
      </c>
      <c r="AF120" t="s">
        <v>4043</v>
      </c>
      <c r="AG120" t="s">
        <v>77</v>
      </c>
    </row>
    <row r="121" spans="1:33" x14ac:dyDescent="0.25">
      <c r="A121" t="str">
        <f>"1982634622"</f>
        <v>1982634622</v>
      </c>
      <c r="B121" t="str">
        <f>"03137919"</f>
        <v>03137919</v>
      </c>
      <c r="C121" t="s">
        <v>4416</v>
      </c>
      <c r="D121" t="s">
        <v>4417</v>
      </c>
      <c r="E121" t="s">
        <v>4418</v>
      </c>
      <c r="L121" t="s">
        <v>79</v>
      </c>
      <c r="M121" t="s">
        <v>72</v>
      </c>
      <c r="R121" t="s">
        <v>4419</v>
      </c>
      <c r="W121" t="s">
        <v>4418</v>
      </c>
      <c r="X121" t="s">
        <v>204</v>
      </c>
      <c r="Y121" t="s">
        <v>117</v>
      </c>
      <c r="Z121" t="s">
        <v>73</v>
      </c>
      <c r="AA121" t="str">
        <f t="shared" si="4"/>
        <v>14263-0001</v>
      </c>
      <c r="AB121" t="s">
        <v>74</v>
      </c>
      <c r="AC121" t="s">
        <v>75</v>
      </c>
      <c r="AD121" t="s">
        <v>72</v>
      </c>
      <c r="AE121" t="s">
        <v>76</v>
      </c>
      <c r="AF121" t="s">
        <v>4043</v>
      </c>
      <c r="AG121" t="s">
        <v>77</v>
      </c>
    </row>
    <row r="122" spans="1:33" x14ac:dyDescent="0.25">
      <c r="A122" t="str">
        <f>"1437301298"</f>
        <v>1437301298</v>
      </c>
      <c r="B122" t="str">
        <f>"03509473"</f>
        <v>03509473</v>
      </c>
      <c r="C122" t="s">
        <v>4420</v>
      </c>
      <c r="D122" t="s">
        <v>4421</v>
      </c>
      <c r="E122" t="s">
        <v>4422</v>
      </c>
      <c r="L122" t="s">
        <v>79</v>
      </c>
      <c r="M122" t="s">
        <v>72</v>
      </c>
      <c r="R122" t="s">
        <v>4423</v>
      </c>
      <c r="W122" t="s">
        <v>4422</v>
      </c>
      <c r="X122" t="s">
        <v>204</v>
      </c>
      <c r="Y122" t="s">
        <v>117</v>
      </c>
      <c r="Z122" t="s">
        <v>73</v>
      </c>
      <c r="AA122" t="str">
        <f t="shared" si="4"/>
        <v>14263-0001</v>
      </c>
      <c r="AB122" t="s">
        <v>74</v>
      </c>
      <c r="AC122" t="s">
        <v>75</v>
      </c>
      <c r="AD122" t="s">
        <v>72</v>
      </c>
      <c r="AE122" t="s">
        <v>76</v>
      </c>
      <c r="AF122" t="s">
        <v>4043</v>
      </c>
      <c r="AG122" t="s">
        <v>77</v>
      </c>
    </row>
    <row r="123" spans="1:33" x14ac:dyDescent="0.25">
      <c r="A123" t="str">
        <f>"1528025830"</f>
        <v>1528025830</v>
      </c>
      <c r="B123" t="str">
        <f>"01243681"</f>
        <v>01243681</v>
      </c>
      <c r="C123" t="s">
        <v>4424</v>
      </c>
      <c r="D123" t="s">
        <v>1218</v>
      </c>
      <c r="E123" t="s">
        <v>1219</v>
      </c>
      <c r="L123" t="s">
        <v>79</v>
      </c>
      <c r="M123" t="s">
        <v>72</v>
      </c>
      <c r="R123" t="s">
        <v>1220</v>
      </c>
      <c r="W123" t="s">
        <v>1219</v>
      </c>
      <c r="X123" t="s">
        <v>173</v>
      </c>
      <c r="Y123" t="s">
        <v>117</v>
      </c>
      <c r="Z123" t="s">
        <v>73</v>
      </c>
      <c r="AA123" t="str">
        <f>"14222-2006"</f>
        <v>14222-2006</v>
      </c>
      <c r="AB123" t="s">
        <v>74</v>
      </c>
      <c r="AC123" t="s">
        <v>75</v>
      </c>
      <c r="AD123" t="s">
        <v>72</v>
      </c>
      <c r="AE123" t="s">
        <v>76</v>
      </c>
      <c r="AF123" t="s">
        <v>4043</v>
      </c>
      <c r="AG123" t="s">
        <v>77</v>
      </c>
    </row>
    <row r="124" spans="1:33" x14ac:dyDescent="0.25">
      <c r="A124" t="str">
        <f>"1336371277"</f>
        <v>1336371277</v>
      </c>
      <c r="B124" t="str">
        <f>"03357182"</f>
        <v>03357182</v>
      </c>
      <c r="C124" t="s">
        <v>4425</v>
      </c>
      <c r="D124" t="s">
        <v>4426</v>
      </c>
      <c r="E124" t="s">
        <v>4427</v>
      </c>
      <c r="L124" t="s">
        <v>71</v>
      </c>
      <c r="M124" t="s">
        <v>72</v>
      </c>
      <c r="R124" t="s">
        <v>4428</v>
      </c>
      <c r="W124" t="s">
        <v>4429</v>
      </c>
      <c r="X124" t="s">
        <v>204</v>
      </c>
      <c r="Y124" t="s">
        <v>117</v>
      </c>
      <c r="Z124" t="s">
        <v>73</v>
      </c>
      <c r="AA124" t="str">
        <f>"14263-0001"</f>
        <v>14263-0001</v>
      </c>
      <c r="AB124" t="s">
        <v>74</v>
      </c>
      <c r="AC124" t="s">
        <v>75</v>
      </c>
      <c r="AD124" t="s">
        <v>72</v>
      </c>
      <c r="AE124" t="s">
        <v>76</v>
      </c>
      <c r="AF124" t="s">
        <v>4043</v>
      </c>
      <c r="AG124" t="s">
        <v>77</v>
      </c>
    </row>
    <row r="125" spans="1:33" x14ac:dyDescent="0.25">
      <c r="A125" t="str">
        <f>"1417990870"</f>
        <v>1417990870</v>
      </c>
      <c r="B125" t="str">
        <f>"02095976"</f>
        <v>02095976</v>
      </c>
      <c r="C125" t="s">
        <v>4430</v>
      </c>
      <c r="D125" t="s">
        <v>550</v>
      </c>
      <c r="E125" t="s">
        <v>551</v>
      </c>
      <c r="L125" t="s">
        <v>84</v>
      </c>
      <c r="M125" t="s">
        <v>72</v>
      </c>
      <c r="R125" t="s">
        <v>549</v>
      </c>
      <c r="W125" t="s">
        <v>549</v>
      </c>
      <c r="X125" t="s">
        <v>552</v>
      </c>
      <c r="Y125" t="s">
        <v>221</v>
      </c>
      <c r="Z125" t="s">
        <v>73</v>
      </c>
      <c r="AA125" t="str">
        <f>"14221-3698"</f>
        <v>14221-3698</v>
      </c>
      <c r="AB125" t="s">
        <v>74</v>
      </c>
      <c r="AC125" t="s">
        <v>75</v>
      </c>
      <c r="AD125" t="s">
        <v>72</v>
      </c>
      <c r="AE125" t="s">
        <v>76</v>
      </c>
      <c r="AF125" t="s">
        <v>4431</v>
      </c>
      <c r="AG125" t="s">
        <v>77</v>
      </c>
    </row>
    <row r="126" spans="1:33" x14ac:dyDescent="0.25">
      <c r="A126" t="str">
        <f>"1316043839"</f>
        <v>1316043839</v>
      </c>
      <c r="B126" t="str">
        <f>"02809387"</f>
        <v>02809387</v>
      </c>
      <c r="C126" t="s">
        <v>4432</v>
      </c>
      <c r="D126" t="s">
        <v>4433</v>
      </c>
      <c r="E126" t="s">
        <v>4434</v>
      </c>
      <c r="L126" t="s">
        <v>79</v>
      </c>
      <c r="M126" t="s">
        <v>72</v>
      </c>
      <c r="R126" t="s">
        <v>4435</v>
      </c>
      <c r="W126" t="s">
        <v>4434</v>
      </c>
      <c r="X126" t="s">
        <v>204</v>
      </c>
      <c r="Y126" t="s">
        <v>117</v>
      </c>
      <c r="Z126" t="s">
        <v>73</v>
      </c>
      <c r="AA126" t="str">
        <f>"14263-0001"</f>
        <v>14263-0001</v>
      </c>
      <c r="AB126" t="s">
        <v>74</v>
      </c>
      <c r="AC126" t="s">
        <v>75</v>
      </c>
      <c r="AD126" t="s">
        <v>72</v>
      </c>
      <c r="AE126" t="s">
        <v>76</v>
      </c>
      <c r="AF126" t="s">
        <v>4043</v>
      </c>
      <c r="AG126" t="s">
        <v>77</v>
      </c>
    </row>
    <row r="127" spans="1:33" x14ac:dyDescent="0.25">
      <c r="A127" t="str">
        <f>"1427089622"</f>
        <v>1427089622</v>
      </c>
      <c r="B127" t="str">
        <f>"00919219"</f>
        <v>00919219</v>
      </c>
      <c r="C127" t="s">
        <v>4436</v>
      </c>
      <c r="D127" t="s">
        <v>4437</v>
      </c>
      <c r="E127" t="s">
        <v>4438</v>
      </c>
      <c r="L127" t="s">
        <v>79</v>
      </c>
      <c r="M127" t="s">
        <v>72</v>
      </c>
      <c r="R127" t="s">
        <v>4439</v>
      </c>
      <c r="W127" t="s">
        <v>4438</v>
      </c>
      <c r="X127" t="s">
        <v>4440</v>
      </c>
      <c r="Y127" t="s">
        <v>87</v>
      </c>
      <c r="Z127" t="s">
        <v>73</v>
      </c>
      <c r="AA127" t="str">
        <f>"10032-3720"</f>
        <v>10032-3720</v>
      </c>
      <c r="AB127" t="s">
        <v>74</v>
      </c>
      <c r="AC127" t="s">
        <v>75</v>
      </c>
      <c r="AD127" t="s">
        <v>72</v>
      </c>
      <c r="AE127" t="s">
        <v>76</v>
      </c>
      <c r="AF127" t="s">
        <v>4043</v>
      </c>
      <c r="AG127" t="s">
        <v>77</v>
      </c>
    </row>
    <row r="128" spans="1:33" x14ac:dyDescent="0.25">
      <c r="A128" t="str">
        <f>"1245389709"</f>
        <v>1245389709</v>
      </c>
      <c r="B128" t="str">
        <f>"02842717"</f>
        <v>02842717</v>
      </c>
      <c r="C128" t="s">
        <v>4441</v>
      </c>
      <c r="D128" t="s">
        <v>4442</v>
      </c>
      <c r="E128" t="s">
        <v>4443</v>
      </c>
      <c r="L128" t="s">
        <v>79</v>
      </c>
      <c r="M128" t="s">
        <v>72</v>
      </c>
      <c r="R128" t="s">
        <v>4444</v>
      </c>
      <c r="W128" t="s">
        <v>4443</v>
      </c>
      <c r="X128" t="s">
        <v>204</v>
      </c>
      <c r="Y128" t="s">
        <v>117</v>
      </c>
      <c r="Z128" t="s">
        <v>73</v>
      </c>
      <c r="AA128" t="str">
        <f t="shared" ref="AA128:AA135" si="5">"14263-0001"</f>
        <v>14263-0001</v>
      </c>
      <c r="AB128" t="s">
        <v>74</v>
      </c>
      <c r="AC128" t="s">
        <v>75</v>
      </c>
      <c r="AD128" t="s">
        <v>72</v>
      </c>
      <c r="AE128" t="s">
        <v>76</v>
      </c>
      <c r="AF128" t="s">
        <v>4043</v>
      </c>
      <c r="AG128" t="s">
        <v>77</v>
      </c>
    </row>
    <row r="129" spans="1:33" x14ac:dyDescent="0.25">
      <c r="A129" t="str">
        <f>"1144485020"</f>
        <v>1144485020</v>
      </c>
      <c r="B129" t="str">
        <f>"03466093"</f>
        <v>03466093</v>
      </c>
      <c r="C129" t="s">
        <v>4445</v>
      </c>
      <c r="D129" t="s">
        <v>4446</v>
      </c>
      <c r="E129" t="s">
        <v>4447</v>
      </c>
      <c r="L129" t="s">
        <v>79</v>
      </c>
      <c r="M129" t="s">
        <v>72</v>
      </c>
      <c r="R129" t="s">
        <v>4447</v>
      </c>
      <c r="W129" t="s">
        <v>4447</v>
      </c>
      <c r="X129" t="s">
        <v>204</v>
      </c>
      <c r="Y129" t="s">
        <v>117</v>
      </c>
      <c r="Z129" t="s">
        <v>73</v>
      </c>
      <c r="AA129" t="str">
        <f t="shared" si="5"/>
        <v>14263-0001</v>
      </c>
      <c r="AB129" t="s">
        <v>74</v>
      </c>
      <c r="AC129" t="s">
        <v>75</v>
      </c>
      <c r="AD129" t="s">
        <v>72</v>
      </c>
      <c r="AE129" t="s">
        <v>76</v>
      </c>
      <c r="AF129" t="s">
        <v>4043</v>
      </c>
      <c r="AG129" t="s">
        <v>77</v>
      </c>
    </row>
    <row r="130" spans="1:33" x14ac:dyDescent="0.25">
      <c r="A130" t="str">
        <f>"1518100262"</f>
        <v>1518100262</v>
      </c>
      <c r="B130" t="str">
        <f>"03261974"</f>
        <v>03261974</v>
      </c>
      <c r="C130" t="s">
        <v>4448</v>
      </c>
      <c r="D130" t="s">
        <v>4449</v>
      </c>
      <c r="E130" t="s">
        <v>4450</v>
      </c>
      <c r="L130" t="s">
        <v>79</v>
      </c>
      <c r="M130" t="s">
        <v>72</v>
      </c>
      <c r="R130" t="s">
        <v>4451</v>
      </c>
      <c r="W130" t="s">
        <v>4451</v>
      </c>
      <c r="X130" t="s">
        <v>204</v>
      </c>
      <c r="Y130" t="s">
        <v>117</v>
      </c>
      <c r="Z130" t="s">
        <v>73</v>
      </c>
      <c r="AA130" t="str">
        <f t="shared" si="5"/>
        <v>14263-0001</v>
      </c>
      <c r="AB130" t="s">
        <v>74</v>
      </c>
      <c r="AC130" t="s">
        <v>75</v>
      </c>
      <c r="AD130" t="s">
        <v>72</v>
      </c>
      <c r="AE130" t="s">
        <v>76</v>
      </c>
      <c r="AF130" t="s">
        <v>4043</v>
      </c>
      <c r="AG130" t="s">
        <v>77</v>
      </c>
    </row>
    <row r="131" spans="1:33" x14ac:dyDescent="0.25">
      <c r="A131" t="str">
        <f>"1538137088"</f>
        <v>1538137088</v>
      </c>
      <c r="B131" t="str">
        <f>"02738654"</f>
        <v>02738654</v>
      </c>
      <c r="C131" t="s">
        <v>4452</v>
      </c>
      <c r="D131" t="s">
        <v>4453</v>
      </c>
      <c r="E131" t="s">
        <v>4454</v>
      </c>
      <c r="L131" t="s">
        <v>79</v>
      </c>
      <c r="M131" t="s">
        <v>72</v>
      </c>
      <c r="R131" t="s">
        <v>279</v>
      </c>
      <c r="W131" t="s">
        <v>4454</v>
      </c>
      <c r="X131" t="s">
        <v>204</v>
      </c>
      <c r="Y131" t="s">
        <v>117</v>
      </c>
      <c r="Z131" t="s">
        <v>73</v>
      </c>
      <c r="AA131" t="str">
        <f t="shared" si="5"/>
        <v>14263-0001</v>
      </c>
      <c r="AB131" t="s">
        <v>74</v>
      </c>
      <c r="AC131" t="s">
        <v>75</v>
      </c>
      <c r="AD131" t="s">
        <v>72</v>
      </c>
      <c r="AE131" t="s">
        <v>76</v>
      </c>
      <c r="AF131" t="s">
        <v>4043</v>
      </c>
      <c r="AG131" t="s">
        <v>77</v>
      </c>
    </row>
    <row r="132" spans="1:33" x14ac:dyDescent="0.25">
      <c r="A132" t="str">
        <f>"1851667216"</f>
        <v>1851667216</v>
      </c>
      <c r="B132" t="str">
        <f>"02442524"</f>
        <v>02442524</v>
      </c>
      <c r="C132" t="s">
        <v>4455</v>
      </c>
      <c r="D132" t="s">
        <v>4456</v>
      </c>
      <c r="E132" t="s">
        <v>4457</v>
      </c>
      <c r="L132" t="s">
        <v>71</v>
      </c>
      <c r="M132" t="s">
        <v>72</v>
      </c>
      <c r="R132" t="s">
        <v>4458</v>
      </c>
      <c r="W132" t="s">
        <v>4458</v>
      </c>
      <c r="X132" t="s">
        <v>204</v>
      </c>
      <c r="Y132" t="s">
        <v>117</v>
      </c>
      <c r="Z132" t="s">
        <v>73</v>
      </c>
      <c r="AA132" t="str">
        <f t="shared" si="5"/>
        <v>14263-0001</v>
      </c>
      <c r="AB132" t="s">
        <v>74</v>
      </c>
      <c r="AC132" t="s">
        <v>75</v>
      </c>
      <c r="AD132" t="s">
        <v>72</v>
      </c>
      <c r="AE132" t="s">
        <v>76</v>
      </c>
      <c r="AF132" t="s">
        <v>4043</v>
      </c>
      <c r="AG132" t="s">
        <v>77</v>
      </c>
    </row>
    <row r="133" spans="1:33" x14ac:dyDescent="0.25">
      <c r="A133" t="str">
        <f>"1669470001"</f>
        <v>1669470001</v>
      </c>
      <c r="B133" t="str">
        <f>"02277434"</f>
        <v>02277434</v>
      </c>
      <c r="C133" t="s">
        <v>4459</v>
      </c>
      <c r="D133" t="s">
        <v>3138</v>
      </c>
      <c r="E133" t="s">
        <v>3139</v>
      </c>
      <c r="L133" t="s">
        <v>79</v>
      </c>
      <c r="M133" t="s">
        <v>72</v>
      </c>
      <c r="R133" t="s">
        <v>3140</v>
      </c>
      <c r="W133" t="s">
        <v>3139</v>
      </c>
      <c r="X133" t="s">
        <v>204</v>
      </c>
      <c r="Y133" t="s">
        <v>117</v>
      </c>
      <c r="Z133" t="s">
        <v>73</v>
      </c>
      <c r="AA133" t="str">
        <f t="shared" si="5"/>
        <v>14263-0001</v>
      </c>
      <c r="AB133" t="s">
        <v>74</v>
      </c>
      <c r="AC133" t="s">
        <v>75</v>
      </c>
      <c r="AD133" t="s">
        <v>72</v>
      </c>
      <c r="AE133" t="s">
        <v>76</v>
      </c>
      <c r="AF133" t="s">
        <v>4043</v>
      </c>
      <c r="AG133" t="s">
        <v>77</v>
      </c>
    </row>
    <row r="134" spans="1:33" x14ac:dyDescent="0.25">
      <c r="A134" t="str">
        <f>"1912905357"</f>
        <v>1912905357</v>
      </c>
      <c r="B134" t="str">
        <f>"01595775"</f>
        <v>01595775</v>
      </c>
      <c r="C134" t="s">
        <v>4460</v>
      </c>
      <c r="D134" t="s">
        <v>4461</v>
      </c>
      <c r="E134" t="s">
        <v>4462</v>
      </c>
      <c r="L134" t="s">
        <v>79</v>
      </c>
      <c r="M134" t="s">
        <v>72</v>
      </c>
      <c r="R134" t="s">
        <v>4462</v>
      </c>
      <c r="W134" t="s">
        <v>4462</v>
      </c>
      <c r="X134" t="s">
        <v>204</v>
      </c>
      <c r="Y134" t="s">
        <v>117</v>
      </c>
      <c r="Z134" t="s">
        <v>73</v>
      </c>
      <c r="AA134" t="str">
        <f t="shared" si="5"/>
        <v>14263-0001</v>
      </c>
      <c r="AB134" t="s">
        <v>74</v>
      </c>
      <c r="AC134" t="s">
        <v>75</v>
      </c>
      <c r="AD134" t="s">
        <v>72</v>
      </c>
      <c r="AE134" t="s">
        <v>76</v>
      </c>
      <c r="AF134" t="s">
        <v>4043</v>
      </c>
      <c r="AG134" t="s">
        <v>77</v>
      </c>
    </row>
    <row r="135" spans="1:33" x14ac:dyDescent="0.25">
      <c r="A135" t="str">
        <f>"1811904089"</f>
        <v>1811904089</v>
      </c>
      <c r="B135" t="str">
        <f>"02869221"</f>
        <v>02869221</v>
      </c>
      <c r="C135" t="s">
        <v>4463</v>
      </c>
      <c r="D135" t="s">
        <v>4464</v>
      </c>
      <c r="E135" t="s">
        <v>4465</v>
      </c>
      <c r="L135" t="s">
        <v>71</v>
      </c>
      <c r="M135" t="s">
        <v>72</v>
      </c>
      <c r="R135" t="s">
        <v>4466</v>
      </c>
      <c r="W135" t="s">
        <v>4465</v>
      </c>
      <c r="X135" t="s">
        <v>204</v>
      </c>
      <c r="Y135" t="s">
        <v>117</v>
      </c>
      <c r="Z135" t="s">
        <v>73</v>
      </c>
      <c r="AA135" t="str">
        <f t="shared" si="5"/>
        <v>14263-0001</v>
      </c>
      <c r="AB135" t="s">
        <v>74</v>
      </c>
      <c r="AC135" t="s">
        <v>75</v>
      </c>
      <c r="AD135" t="s">
        <v>72</v>
      </c>
      <c r="AE135" t="s">
        <v>76</v>
      </c>
      <c r="AF135" t="s">
        <v>4043</v>
      </c>
      <c r="AG135" t="s">
        <v>77</v>
      </c>
    </row>
    <row r="136" spans="1:33" x14ac:dyDescent="0.25">
      <c r="A136" t="str">
        <f>"1053319681"</f>
        <v>1053319681</v>
      </c>
      <c r="B136" t="str">
        <f>"01124818"</f>
        <v>01124818</v>
      </c>
      <c r="C136" t="s">
        <v>4467</v>
      </c>
      <c r="D136" t="s">
        <v>2154</v>
      </c>
      <c r="E136" t="s">
        <v>2155</v>
      </c>
      <c r="L136" t="s">
        <v>79</v>
      </c>
      <c r="M136" t="s">
        <v>72</v>
      </c>
      <c r="R136" t="s">
        <v>2156</v>
      </c>
      <c r="W136" t="s">
        <v>2155</v>
      </c>
      <c r="X136" t="s">
        <v>243</v>
      </c>
      <c r="Y136" t="s">
        <v>117</v>
      </c>
      <c r="Z136" t="s">
        <v>73</v>
      </c>
      <c r="AA136" t="str">
        <f>"14203-1126"</f>
        <v>14203-1126</v>
      </c>
      <c r="AB136" t="s">
        <v>74</v>
      </c>
      <c r="AC136" t="s">
        <v>75</v>
      </c>
      <c r="AD136" t="s">
        <v>72</v>
      </c>
      <c r="AE136" t="s">
        <v>76</v>
      </c>
      <c r="AF136" t="s">
        <v>4043</v>
      </c>
      <c r="AG136" t="s">
        <v>77</v>
      </c>
    </row>
    <row r="137" spans="1:33" x14ac:dyDescent="0.25">
      <c r="A137" t="str">
        <f>"1730405564"</f>
        <v>1730405564</v>
      </c>
      <c r="B137" t="str">
        <f>"03687125"</f>
        <v>03687125</v>
      </c>
      <c r="C137" t="s">
        <v>4468</v>
      </c>
      <c r="D137" t="s">
        <v>4469</v>
      </c>
      <c r="E137" t="s">
        <v>4470</v>
      </c>
      <c r="L137" t="s">
        <v>79</v>
      </c>
      <c r="M137" t="s">
        <v>72</v>
      </c>
      <c r="R137" t="s">
        <v>4471</v>
      </c>
      <c r="W137" t="s">
        <v>4470</v>
      </c>
      <c r="X137" t="s">
        <v>4472</v>
      </c>
      <c r="Y137" t="s">
        <v>221</v>
      </c>
      <c r="Z137" t="s">
        <v>73</v>
      </c>
      <c r="AA137" t="str">
        <f>"14221-6509"</f>
        <v>14221-6509</v>
      </c>
      <c r="AB137" t="s">
        <v>74</v>
      </c>
      <c r="AC137" t="s">
        <v>75</v>
      </c>
      <c r="AD137" t="s">
        <v>72</v>
      </c>
      <c r="AE137" t="s">
        <v>76</v>
      </c>
      <c r="AF137" t="s">
        <v>4043</v>
      </c>
      <c r="AG137" t="s">
        <v>77</v>
      </c>
    </row>
    <row r="138" spans="1:33" x14ac:dyDescent="0.25">
      <c r="A138" t="str">
        <f>"1992703268"</f>
        <v>1992703268</v>
      </c>
      <c r="B138" t="str">
        <f>"01183893"</f>
        <v>01183893</v>
      </c>
      <c r="C138" t="s">
        <v>4473</v>
      </c>
      <c r="D138" t="s">
        <v>4474</v>
      </c>
      <c r="E138" t="s">
        <v>4475</v>
      </c>
      <c r="L138" t="s">
        <v>79</v>
      </c>
      <c r="M138" t="s">
        <v>72</v>
      </c>
      <c r="R138" t="s">
        <v>4476</v>
      </c>
      <c r="W138" t="s">
        <v>4475</v>
      </c>
      <c r="X138" t="s">
        <v>1234</v>
      </c>
      <c r="Y138" t="s">
        <v>117</v>
      </c>
      <c r="Z138" t="s">
        <v>73</v>
      </c>
      <c r="AA138" t="str">
        <f>"14263-0001"</f>
        <v>14263-0001</v>
      </c>
      <c r="AB138" t="s">
        <v>74</v>
      </c>
      <c r="AC138" t="s">
        <v>75</v>
      </c>
      <c r="AD138" t="s">
        <v>72</v>
      </c>
      <c r="AE138" t="s">
        <v>76</v>
      </c>
      <c r="AF138" t="s">
        <v>4043</v>
      </c>
      <c r="AG138" t="s">
        <v>77</v>
      </c>
    </row>
    <row r="139" spans="1:33" x14ac:dyDescent="0.25">
      <c r="A139" t="str">
        <f>"1417948456"</f>
        <v>1417948456</v>
      </c>
      <c r="B139" t="str">
        <f>"02385880"</f>
        <v>02385880</v>
      </c>
      <c r="C139" t="s">
        <v>4477</v>
      </c>
      <c r="D139" t="s">
        <v>4478</v>
      </c>
      <c r="E139" t="s">
        <v>4479</v>
      </c>
      <c r="L139" t="s">
        <v>79</v>
      </c>
      <c r="M139" t="s">
        <v>72</v>
      </c>
      <c r="R139" t="s">
        <v>4480</v>
      </c>
      <c r="W139" t="s">
        <v>4479</v>
      </c>
      <c r="X139" t="s">
        <v>4481</v>
      </c>
      <c r="Y139" t="s">
        <v>117</v>
      </c>
      <c r="Z139" t="s">
        <v>73</v>
      </c>
      <c r="AA139" t="str">
        <f>"14263-0001"</f>
        <v>14263-0001</v>
      </c>
      <c r="AB139" t="s">
        <v>74</v>
      </c>
      <c r="AC139" t="s">
        <v>75</v>
      </c>
      <c r="AD139" t="s">
        <v>72</v>
      </c>
      <c r="AE139" t="s">
        <v>76</v>
      </c>
      <c r="AF139" t="s">
        <v>4043</v>
      </c>
      <c r="AG139" t="s">
        <v>77</v>
      </c>
    </row>
    <row r="140" spans="1:33" x14ac:dyDescent="0.25">
      <c r="A140" t="str">
        <f>"1013907195"</f>
        <v>1013907195</v>
      </c>
      <c r="B140" t="str">
        <f>"02051178"</f>
        <v>02051178</v>
      </c>
      <c r="C140" t="s">
        <v>4482</v>
      </c>
      <c r="D140" t="s">
        <v>4483</v>
      </c>
      <c r="E140" t="s">
        <v>4484</v>
      </c>
      <c r="L140" t="s">
        <v>79</v>
      </c>
      <c r="M140" t="s">
        <v>72</v>
      </c>
      <c r="R140" t="s">
        <v>4485</v>
      </c>
      <c r="W140" t="s">
        <v>4484</v>
      </c>
      <c r="X140" t="s">
        <v>4486</v>
      </c>
      <c r="Y140" t="s">
        <v>117</v>
      </c>
      <c r="Z140" t="s">
        <v>73</v>
      </c>
      <c r="AA140" t="str">
        <f>"14263-0001"</f>
        <v>14263-0001</v>
      </c>
      <c r="AB140" t="s">
        <v>74</v>
      </c>
      <c r="AC140" t="s">
        <v>75</v>
      </c>
      <c r="AD140" t="s">
        <v>72</v>
      </c>
      <c r="AE140" t="s">
        <v>76</v>
      </c>
      <c r="AF140" t="s">
        <v>4043</v>
      </c>
      <c r="AG140" t="s">
        <v>77</v>
      </c>
    </row>
    <row r="141" spans="1:33" x14ac:dyDescent="0.25">
      <c r="A141" t="str">
        <f>"1144385972"</f>
        <v>1144385972</v>
      </c>
      <c r="B141" t="str">
        <f>"02575097"</f>
        <v>02575097</v>
      </c>
      <c r="C141" t="s">
        <v>4487</v>
      </c>
      <c r="D141" t="s">
        <v>4488</v>
      </c>
      <c r="E141" t="s">
        <v>4489</v>
      </c>
      <c r="L141" t="s">
        <v>71</v>
      </c>
      <c r="M141" t="s">
        <v>72</v>
      </c>
      <c r="R141" t="s">
        <v>4490</v>
      </c>
      <c r="W141" t="s">
        <v>4491</v>
      </c>
      <c r="X141" t="s">
        <v>204</v>
      </c>
      <c r="Y141" t="s">
        <v>117</v>
      </c>
      <c r="Z141" t="s">
        <v>73</v>
      </c>
      <c r="AA141" t="str">
        <f>"14263-0001"</f>
        <v>14263-0001</v>
      </c>
      <c r="AB141" t="s">
        <v>74</v>
      </c>
      <c r="AC141" t="s">
        <v>75</v>
      </c>
      <c r="AD141" t="s">
        <v>72</v>
      </c>
      <c r="AE141" t="s">
        <v>76</v>
      </c>
      <c r="AF141" t="s">
        <v>4043</v>
      </c>
      <c r="AG141" t="s">
        <v>77</v>
      </c>
    </row>
    <row r="142" spans="1:33" x14ac:dyDescent="0.25">
      <c r="A142" t="str">
        <f>"1881761559"</f>
        <v>1881761559</v>
      </c>
      <c r="B142" t="str">
        <f>"00827385"</f>
        <v>00827385</v>
      </c>
      <c r="C142" t="s">
        <v>4492</v>
      </c>
      <c r="D142" t="s">
        <v>4493</v>
      </c>
      <c r="E142" t="s">
        <v>4494</v>
      </c>
      <c r="G142" t="s">
        <v>4492</v>
      </c>
      <c r="H142" t="s">
        <v>2038</v>
      </c>
      <c r="J142" t="s">
        <v>4495</v>
      </c>
      <c r="L142" t="s">
        <v>80</v>
      </c>
      <c r="M142" t="s">
        <v>72</v>
      </c>
      <c r="R142" t="s">
        <v>4496</v>
      </c>
      <c r="W142" t="s">
        <v>4494</v>
      </c>
      <c r="X142" t="s">
        <v>1392</v>
      </c>
      <c r="Y142" t="s">
        <v>117</v>
      </c>
      <c r="Z142" t="s">
        <v>73</v>
      </c>
      <c r="AA142" t="str">
        <f>"14220-1700"</f>
        <v>14220-1700</v>
      </c>
      <c r="AB142" t="s">
        <v>74</v>
      </c>
      <c r="AC142" t="s">
        <v>75</v>
      </c>
      <c r="AD142" t="s">
        <v>72</v>
      </c>
      <c r="AE142" t="s">
        <v>76</v>
      </c>
      <c r="AF142" t="s">
        <v>3974</v>
      </c>
      <c r="AG142" t="s">
        <v>77</v>
      </c>
    </row>
    <row r="143" spans="1:33" x14ac:dyDescent="0.25">
      <c r="A143" t="str">
        <f>"1093786600"</f>
        <v>1093786600</v>
      </c>
      <c r="B143" t="str">
        <f>"01671232"</f>
        <v>01671232</v>
      </c>
      <c r="C143" t="s">
        <v>4497</v>
      </c>
      <c r="D143" t="s">
        <v>4498</v>
      </c>
      <c r="E143" t="s">
        <v>4499</v>
      </c>
      <c r="G143" t="s">
        <v>4101</v>
      </c>
      <c r="H143" t="s">
        <v>4102</v>
      </c>
      <c r="I143">
        <v>44</v>
      </c>
      <c r="J143" t="s">
        <v>4103</v>
      </c>
      <c r="L143" t="s">
        <v>80</v>
      </c>
      <c r="M143" t="s">
        <v>81</v>
      </c>
      <c r="R143" t="s">
        <v>4500</v>
      </c>
      <c r="W143" t="s">
        <v>4499</v>
      </c>
      <c r="X143" t="s">
        <v>4501</v>
      </c>
      <c r="Y143" t="s">
        <v>242</v>
      </c>
      <c r="Z143" t="s">
        <v>73</v>
      </c>
      <c r="AA143" t="str">
        <f>"14701-2519"</f>
        <v>14701-2519</v>
      </c>
      <c r="AB143" t="s">
        <v>74</v>
      </c>
      <c r="AC143" t="s">
        <v>75</v>
      </c>
      <c r="AD143" t="s">
        <v>72</v>
      </c>
      <c r="AE143" t="s">
        <v>76</v>
      </c>
      <c r="AF143" t="s">
        <v>4049</v>
      </c>
      <c r="AG143" t="s">
        <v>77</v>
      </c>
    </row>
    <row r="144" spans="1:33" x14ac:dyDescent="0.25">
      <c r="A144" t="str">
        <f>"1700841756"</f>
        <v>1700841756</v>
      </c>
      <c r="B144" t="str">
        <f>"01843154"</f>
        <v>01843154</v>
      </c>
      <c r="C144" t="s">
        <v>4502</v>
      </c>
      <c r="D144" t="s">
        <v>4503</v>
      </c>
      <c r="E144" t="s">
        <v>4504</v>
      </c>
      <c r="G144" t="s">
        <v>4505</v>
      </c>
      <c r="H144" t="s">
        <v>4506</v>
      </c>
      <c r="J144" t="s">
        <v>4507</v>
      </c>
      <c r="L144" t="s">
        <v>80</v>
      </c>
      <c r="M144" t="s">
        <v>72</v>
      </c>
      <c r="R144" t="s">
        <v>4508</v>
      </c>
      <c r="W144" t="s">
        <v>4504</v>
      </c>
      <c r="X144" t="s">
        <v>4504</v>
      </c>
      <c r="Y144" t="s">
        <v>221</v>
      </c>
      <c r="Z144" t="s">
        <v>73</v>
      </c>
      <c r="AA144" t="str">
        <f>"14221-2918"</f>
        <v>14221-2918</v>
      </c>
      <c r="AB144" t="s">
        <v>74</v>
      </c>
      <c r="AC144" t="s">
        <v>75</v>
      </c>
      <c r="AD144" t="s">
        <v>72</v>
      </c>
      <c r="AE144" t="s">
        <v>76</v>
      </c>
      <c r="AF144" t="s">
        <v>3961</v>
      </c>
      <c r="AG144" t="s">
        <v>77</v>
      </c>
    </row>
    <row r="145" spans="1:33" x14ac:dyDescent="0.25">
      <c r="A145" t="str">
        <f>"1356320345"</f>
        <v>1356320345</v>
      </c>
      <c r="B145" t="str">
        <f>"02504772"</f>
        <v>02504772</v>
      </c>
      <c r="C145" t="s">
        <v>4509</v>
      </c>
      <c r="D145" t="s">
        <v>2328</v>
      </c>
      <c r="E145" t="s">
        <v>2329</v>
      </c>
      <c r="G145" t="s">
        <v>4510</v>
      </c>
      <c r="H145" t="s">
        <v>2330</v>
      </c>
      <c r="J145" t="s">
        <v>4511</v>
      </c>
      <c r="L145" t="s">
        <v>79</v>
      </c>
      <c r="M145" t="s">
        <v>72</v>
      </c>
      <c r="R145" t="s">
        <v>2331</v>
      </c>
      <c r="W145" t="s">
        <v>2329</v>
      </c>
      <c r="X145" t="s">
        <v>173</v>
      </c>
      <c r="Y145" t="s">
        <v>117</v>
      </c>
      <c r="Z145" t="s">
        <v>73</v>
      </c>
      <c r="AA145" t="str">
        <f>"14222-2006"</f>
        <v>14222-2006</v>
      </c>
      <c r="AB145" t="s">
        <v>74</v>
      </c>
      <c r="AC145" t="s">
        <v>75</v>
      </c>
      <c r="AD145" t="s">
        <v>72</v>
      </c>
      <c r="AE145" t="s">
        <v>76</v>
      </c>
      <c r="AF145" t="s">
        <v>3974</v>
      </c>
      <c r="AG145" t="s">
        <v>77</v>
      </c>
    </row>
    <row r="146" spans="1:33" x14ac:dyDescent="0.25">
      <c r="A146" t="str">
        <f>"1912900432"</f>
        <v>1912900432</v>
      </c>
      <c r="B146" t="str">
        <f>"03030384"</f>
        <v>03030384</v>
      </c>
      <c r="C146" t="s">
        <v>4512</v>
      </c>
      <c r="D146" t="s">
        <v>4513</v>
      </c>
      <c r="E146" t="s">
        <v>4514</v>
      </c>
      <c r="G146" t="s">
        <v>4512</v>
      </c>
      <c r="H146" t="s">
        <v>4515</v>
      </c>
      <c r="J146" t="s">
        <v>4516</v>
      </c>
      <c r="L146" t="s">
        <v>80</v>
      </c>
      <c r="M146" t="s">
        <v>72</v>
      </c>
      <c r="R146" t="s">
        <v>4517</v>
      </c>
      <c r="W146" t="s">
        <v>4518</v>
      </c>
      <c r="X146" t="s">
        <v>4519</v>
      </c>
      <c r="Y146" t="s">
        <v>237</v>
      </c>
      <c r="Z146" t="s">
        <v>73</v>
      </c>
      <c r="AA146" t="str">
        <f>"14224-3352"</f>
        <v>14224-3352</v>
      </c>
      <c r="AB146" t="s">
        <v>74</v>
      </c>
      <c r="AC146" t="s">
        <v>75</v>
      </c>
      <c r="AD146" t="s">
        <v>72</v>
      </c>
      <c r="AE146" t="s">
        <v>76</v>
      </c>
      <c r="AF146" t="s">
        <v>3961</v>
      </c>
      <c r="AG146" t="s">
        <v>77</v>
      </c>
    </row>
    <row r="147" spans="1:33" x14ac:dyDescent="0.25">
      <c r="A147" t="str">
        <f>"1689871634"</f>
        <v>1689871634</v>
      </c>
      <c r="B147" t="str">
        <f>"03993579"</f>
        <v>03993579</v>
      </c>
      <c r="C147" t="s">
        <v>4520</v>
      </c>
      <c r="D147" t="s">
        <v>4521</v>
      </c>
      <c r="E147" t="s">
        <v>4522</v>
      </c>
      <c r="L147" t="s">
        <v>71</v>
      </c>
      <c r="M147" t="s">
        <v>72</v>
      </c>
      <c r="R147" t="s">
        <v>4522</v>
      </c>
      <c r="W147" t="s">
        <v>4523</v>
      </c>
      <c r="X147" t="s">
        <v>204</v>
      </c>
      <c r="Y147" t="s">
        <v>117</v>
      </c>
      <c r="Z147" t="s">
        <v>73</v>
      </c>
      <c r="AA147" t="str">
        <f t="shared" ref="AA147:AA154" si="6">"14263-0001"</f>
        <v>14263-0001</v>
      </c>
      <c r="AB147" t="s">
        <v>74</v>
      </c>
      <c r="AC147" t="s">
        <v>75</v>
      </c>
      <c r="AD147" t="s">
        <v>72</v>
      </c>
      <c r="AE147" t="s">
        <v>76</v>
      </c>
      <c r="AF147" t="s">
        <v>4043</v>
      </c>
      <c r="AG147" t="s">
        <v>77</v>
      </c>
    </row>
    <row r="148" spans="1:33" x14ac:dyDescent="0.25">
      <c r="A148" t="str">
        <f>"1235112079"</f>
        <v>1235112079</v>
      </c>
      <c r="B148" t="str">
        <f>"02322278"</f>
        <v>02322278</v>
      </c>
      <c r="C148" t="s">
        <v>4524</v>
      </c>
      <c r="D148" t="s">
        <v>2082</v>
      </c>
      <c r="E148" t="s">
        <v>2083</v>
      </c>
      <c r="L148" t="s">
        <v>96</v>
      </c>
      <c r="M148" t="s">
        <v>72</v>
      </c>
      <c r="R148" t="s">
        <v>2084</v>
      </c>
      <c r="W148" t="s">
        <v>2083</v>
      </c>
      <c r="X148" t="s">
        <v>204</v>
      </c>
      <c r="Y148" t="s">
        <v>117</v>
      </c>
      <c r="Z148" t="s">
        <v>73</v>
      </c>
      <c r="AA148" t="str">
        <f t="shared" si="6"/>
        <v>14263-0001</v>
      </c>
      <c r="AB148" t="s">
        <v>74</v>
      </c>
      <c r="AC148" t="s">
        <v>75</v>
      </c>
      <c r="AD148" t="s">
        <v>72</v>
      </c>
      <c r="AE148" t="s">
        <v>76</v>
      </c>
      <c r="AF148" t="s">
        <v>4043</v>
      </c>
      <c r="AG148" t="s">
        <v>77</v>
      </c>
    </row>
    <row r="149" spans="1:33" x14ac:dyDescent="0.25">
      <c r="A149" t="str">
        <f>"1124466909"</f>
        <v>1124466909</v>
      </c>
      <c r="B149" t="str">
        <f>"03606439"</f>
        <v>03606439</v>
      </c>
      <c r="C149" t="s">
        <v>4525</v>
      </c>
      <c r="D149" t="s">
        <v>4526</v>
      </c>
      <c r="E149" t="s">
        <v>4527</v>
      </c>
      <c r="L149" t="s">
        <v>71</v>
      </c>
      <c r="M149" t="s">
        <v>72</v>
      </c>
      <c r="R149" t="s">
        <v>4528</v>
      </c>
      <c r="W149" t="s">
        <v>4527</v>
      </c>
      <c r="X149" t="s">
        <v>204</v>
      </c>
      <c r="Y149" t="s">
        <v>117</v>
      </c>
      <c r="Z149" t="s">
        <v>73</v>
      </c>
      <c r="AA149" t="str">
        <f t="shared" si="6"/>
        <v>14263-0001</v>
      </c>
      <c r="AB149" t="s">
        <v>74</v>
      </c>
      <c r="AC149" t="s">
        <v>75</v>
      </c>
      <c r="AD149" t="s">
        <v>72</v>
      </c>
      <c r="AE149" t="s">
        <v>76</v>
      </c>
      <c r="AF149" t="s">
        <v>4043</v>
      </c>
      <c r="AG149" t="s">
        <v>77</v>
      </c>
    </row>
    <row r="150" spans="1:33" x14ac:dyDescent="0.25">
      <c r="A150" t="str">
        <f>"1881677623"</f>
        <v>1881677623</v>
      </c>
      <c r="B150" t="str">
        <f>"01926489"</f>
        <v>01926489</v>
      </c>
      <c r="C150" t="s">
        <v>4529</v>
      </c>
      <c r="D150" t="s">
        <v>4530</v>
      </c>
      <c r="E150" t="s">
        <v>4531</v>
      </c>
      <c r="L150" t="s">
        <v>71</v>
      </c>
      <c r="M150" t="s">
        <v>72</v>
      </c>
      <c r="R150" t="s">
        <v>4532</v>
      </c>
      <c r="W150" t="s">
        <v>4531</v>
      </c>
      <c r="X150" t="s">
        <v>204</v>
      </c>
      <c r="Y150" t="s">
        <v>117</v>
      </c>
      <c r="Z150" t="s">
        <v>73</v>
      </c>
      <c r="AA150" t="str">
        <f t="shared" si="6"/>
        <v>14263-0001</v>
      </c>
      <c r="AB150" t="s">
        <v>74</v>
      </c>
      <c r="AC150" t="s">
        <v>75</v>
      </c>
      <c r="AD150" t="s">
        <v>72</v>
      </c>
      <c r="AE150" t="s">
        <v>76</v>
      </c>
      <c r="AF150" t="s">
        <v>4043</v>
      </c>
      <c r="AG150" t="s">
        <v>77</v>
      </c>
    </row>
    <row r="151" spans="1:33" x14ac:dyDescent="0.25">
      <c r="A151" t="str">
        <f>"1306076344"</f>
        <v>1306076344</v>
      </c>
      <c r="B151" t="str">
        <f>"03132496"</f>
        <v>03132496</v>
      </c>
      <c r="C151" t="s">
        <v>4533</v>
      </c>
      <c r="D151" t="s">
        <v>4534</v>
      </c>
      <c r="E151" t="s">
        <v>4535</v>
      </c>
      <c r="L151" t="s">
        <v>71</v>
      </c>
      <c r="M151" t="s">
        <v>72</v>
      </c>
      <c r="R151" t="s">
        <v>4536</v>
      </c>
      <c r="W151" t="s">
        <v>4535</v>
      </c>
      <c r="X151" t="s">
        <v>204</v>
      </c>
      <c r="Y151" t="s">
        <v>117</v>
      </c>
      <c r="Z151" t="s">
        <v>73</v>
      </c>
      <c r="AA151" t="str">
        <f t="shared" si="6"/>
        <v>14263-0001</v>
      </c>
      <c r="AB151" t="s">
        <v>74</v>
      </c>
      <c r="AC151" t="s">
        <v>75</v>
      </c>
      <c r="AD151" t="s">
        <v>72</v>
      </c>
      <c r="AE151" t="s">
        <v>76</v>
      </c>
      <c r="AF151" t="s">
        <v>4043</v>
      </c>
      <c r="AG151" t="s">
        <v>77</v>
      </c>
    </row>
    <row r="152" spans="1:33" x14ac:dyDescent="0.25">
      <c r="A152" t="str">
        <f>"1447577697"</f>
        <v>1447577697</v>
      </c>
      <c r="B152" t="str">
        <f>"03993455"</f>
        <v>03993455</v>
      </c>
      <c r="C152" t="s">
        <v>4537</v>
      </c>
      <c r="D152" t="s">
        <v>4538</v>
      </c>
      <c r="E152" t="s">
        <v>4539</v>
      </c>
      <c r="L152" t="s">
        <v>71</v>
      </c>
      <c r="M152" t="s">
        <v>72</v>
      </c>
      <c r="R152" t="s">
        <v>4540</v>
      </c>
      <c r="W152" t="s">
        <v>4539</v>
      </c>
      <c r="X152" t="s">
        <v>204</v>
      </c>
      <c r="Y152" t="s">
        <v>117</v>
      </c>
      <c r="Z152" t="s">
        <v>73</v>
      </c>
      <c r="AA152" t="str">
        <f t="shared" si="6"/>
        <v>14263-0001</v>
      </c>
      <c r="AB152" t="s">
        <v>74</v>
      </c>
      <c r="AC152" t="s">
        <v>75</v>
      </c>
      <c r="AD152" t="s">
        <v>72</v>
      </c>
      <c r="AE152" t="s">
        <v>76</v>
      </c>
      <c r="AF152" t="s">
        <v>4043</v>
      </c>
      <c r="AG152" t="s">
        <v>77</v>
      </c>
    </row>
    <row r="153" spans="1:33" x14ac:dyDescent="0.25">
      <c r="A153" t="str">
        <f>"1700036217"</f>
        <v>1700036217</v>
      </c>
      <c r="B153" t="str">
        <f>"03054937"</f>
        <v>03054937</v>
      </c>
      <c r="C153" t="s">
        <v>4541</v>
      </c>
      <c r="D153" t="s">
        <v>4542</v>
      </c>
      <c r="E153" t="s">
        <v>4543</v>
      </c>
      <c r="L153" t="s">
        <v>79</v>
      </c>
      <c r="M153" t="s">
        <v>72</v>
      </c>
      <c r="R153" t="s">
        <v>4544</v>
      </c>
      <c r="W153" t="s">
        <v>4543</v>
      </c>
      <c r="X153" t="s">
        <v>204</v>
      </c>
      <c r="Y153" t="s">
        <v>117</v>
      </c>
      <c r="Z153" t="s">
        <v>73</v>
      </c>
      <c r="AA153" t="str">
        <f t="shared" si="6"/>
        <v>14263-0001</v>
      </c>
      <c r="AB153" t="s">
        <v>74</v>
      </c>
      <c r="AC153" t="s">
        <v>75</v>
      </c>
      <c r="AD153" t="s">
        <v>72</v>
      </c>
      <c r="AE153" t="s">
        <v>76</v>
      </c>
      <c r="AF153" t="s">
        <v>4043</v>
      </c>
      <c r="AG153" t="s">
        <v>77</v>
      </c>
    </row>
    <row r="154" spans="1:33" x14ac:dyDescent="0.25">
      <c r="A154" t="str">
        <f>"1487817441"</f>
        <v>1487817441</v>
      </c>
      <c r="B154" t="str">
        <f>"03727768"</f>
        <v>03727768</v>
      </c>
      <c r="C154" t="s">
        <v>4545</v>
      </c>
      <c r="D154" t="s">
        <v>4546</v>
      </c>
      <c r="E154" t="s">
        <v>4547</v>
      </c>
      <c r="L154" t="s">
        <v>71</v>
      </c>
      <c r="M154" t="s">
        <v>72</v>
      </c>
      <c r="R154" t="s">
        <v>4548</v>
      </c>
      <c r="W154" t="s">
        <v>4548</v>
      </c>
      <c r="X154" t="s">
        <v>204</v>
      </c>
      <c r="Y154" t="s">
        <v>117</v>
      </c>
      <c r="Z154" t="s">
        <v>73</v>
      </c>
      <c r="AA154" t="str">
        <f t="shared" si="6"/>
        <v>14263-0001</v>
      </c>
      <c r="AB154" t="s">
        <v>74</v>
      </c>
      <c r="AC154" t="s">
        <v>75</v>
      </c>
      <c r="AD154" t="s">
        <v>72</v>
      </c>
      <c r="AE154" t="s">
        <v>76</v>
      </c>
      <c r="AF154" t="s">
        <v>4043</v>
      </c>
      <c r="AG154" t="s">
        <v>77</v>
      </c>
    </row>
    <row r="155" spans="1:33" x14ac:dyDescent="0.25">
      <c r="A155" t="str">
        <f>"1194888198"</f>
        <v>1194888198</v>
      </c>
      <c r="B155" t="str">
        <f>"02099347"</f>
        <v>02099347</v>
      </c>
      <c r="C155" t="s">
        <v>4549</v>
      </c>
      <c r="D155" t="s">
        <v>4550</v>
      </c>
      <c r="E155" t="s">
        <v>4551</v>
      </c>
      <c r="L155" t="s">
        <v>71</v>
      </c>
      <c r="M155" t="s">
        <v>72</v>
      </c>
      <c r="R155" t="s">
        <v>4552</v>
      </c>
      <c r="W155" t="s">
        <v>4553</v>
      </c>
      <c r="X155" t="s">
        <v>1194</v>
      </c>
      <c r="Y155" t="s">
        <v>237</v>
      </c>
      <c r="Z155" t="s">
        <v>73</v>
      </c>
      <c r="AA155" t="str">
        <f>"14224-2646"</f>
        <v>14224-2646</v>
      </c>
      <c r="AB155" t="s">
        <v>74</v>
      </c>
      <c r="AC155" t="s">
        <v>75</v>
      </c>
      <c r="AD155" t="s">
        <v>72</v>
      </c>
      <c r="AE155" t="s">
        <v>76</v>
      </c>
      <c r="AF155" t="s">
        <v>4043</v>
      </c>
      <c r="AG155" t="s">
        <v>77</v>
      </c>
    </row>
    <row r="156" spans="1:33" x14ac:dyDescent="0.25">
      <c r="A156" t="str">
        <f>"1265468060"</f>
        <v>1265468060</v>
      </c>
      <c r="B156" t="str">
        <f>"02138874"</f>
        <v>02138874</v>
      </c>
      <c r="C156" t="s">
        <v>4554</v>
      </c>
      <c r="D156" t="s">
        <v>4555</v>
      </c>
      <c r="E156" t="s">
        <v>4556</v>
      </c>
      <c r="L156" t="s">
        <v>71</v>
      </c>
      <c r="M156" t="s">
        <v>72</v>
      </c>
      <c r="R156" t="s">
        <v>4557</v>
      </c>
      <c r="W156" t="s">
        <v>4558</v>
      </c>
      <c r="X156" t="s">
        <v>204</v>
      </c>
      <c r="Y156" t="s">
        <v>117</v>
      </c>
      <c r="Z156" t="s">
        <v>73</v>
      </c>
      <c r="AA156" t="str">
        <f>"14263-0001"</f>
        <v>14263-0001</v>
      </c>
      <c r="AB156" t="s">
        <v>74</v>
      </c>
      <c r="AC156" t="s">
        <v>75</v>
      </c>
      <c r="AD156" t="s">
        <v>72</v>
      </c>
      <c r="AE156" t="s">
        <v>76</v>
      </c>
      <c r="AF156" t="s">
        <v>4043</v>
      </c>
      <c r="AG156" t="s">
        <v>77</v>
      </c>
    </row>
    <row r="157" spans="1:33" x14ac:dyDescent="0.25">
      <c r="A157" t="str">
        <f>"1922416601"</f>
        <v>1922416601</v>
      </c>
      <c r="B157" t="str">
        <f>"03970032"</f>
        <v>03970032</v>
      </c>
      <c r="C157" t="s">
        <v>4559</v>
      </c>
      <c r="D157" t="s">
        <v>4560</v>
      </c>
      <c r="E157" t="s">
        <v>4561</v>
      </c>
      <c r="L157" t="s">
        <v>71</v>
      </c>
      <c r="M157" t="s">
        <v>72</v>
      </c>
      <c r="R157" t="s">
        <v>4562</v>
      </c>
      <c r="W157" t="s">
        <v>4561</v>
      </c>
      <c r="X157" t="s">
        <v>204</v>
      </c>
      <c r="Y157" t="s">
        <v>117</v>
      </c>
      <c r="Z157" t="s">
        <v>73</v>
      </c>
      <c r="AA157" t="str">
        <f>"14263-0001"</f>
        <v>14263-0001</v>
      </c>
      <c r="AB157" t="s">
        <v>74</v>
      </c>
      <c r="AC157" t="s">
        <v>75</v>
      </c>
      <c r="AD157" t="s">
        <v>72</v>
      </c>
      <c r="AE157" t="s">
        <v>76</v>
      </c>
      <c r="AF157" t="s">
        <v>4043</v>
      </c>
      <c r="AG157" t="s">
        <v>77</v>
      </c>
    </row>
    <row r="158" spans="1:33" x14ac:dyDescent="0.25">
      <c r="A158" t="str">
        <f>"1518106251"</f>
        <v>1518106251</v>
      </c>
      <c r="B158" t="str">
        <f>"03083438"</f>
        <v>03083438</v>
      </c>
      <c r="C158" t="s">
        <v>4563</v>
      </c>
      <c r="D158" t="s">
        <v>4564</v>
      </c>
      <c r="E158" t="s">
        <v>4565</v>
      </c>
      <c r="L158" t="s">
        <v>71</v>
      </c>
      <c r="M158" t="s">
        <v>72</v>
      </c>
      <c r="R158" t="s">
        <v>4566</v>
      </c>
      <c r="W158" t="s">
        <v>4565</v>
      </c>
      <c r="X158" t="s">
        <v>234</v>
      </c>
      <c r="Y158" t="s">
        <v>117</v>
      </c>
      <c r="Z158" t="s">
        <v>73</v>
      </c>
      <c r="AA158" t="str">
        <f>"14220-2039"</f>
        <v>14220-2039</v>
      </c>
      <c r="AB158" t="s">
        <v>74</v>
      </c>
      <c r="AC158" t="s">
        <v>75</v>
      </c>
      <c r="AD158" t="s">
        <v>72</v>
      </c>
      <c r="AE158" t="s">
        <v>76</v>
      </c>
      <c r="AF158" t="s">
        <v>4043</v>
      </c>
      <c r="AG158" t="s">
        <v>77</v>
      </c>
    </row>
    <row r="159" spans="1:33" x14ac:dyDescent="0.25">
      <c r="A159" t="str">
        <f>"1831407998"</f>
        <v>1831407998</v>
      </c>
      <c r="B159" t="str">
        <f>"03283103"</f>
        <v>03283103</v>
      </c>
      <c r="C159" t="s">
        <v>4567</v>
      </c>
      <c r="D159" t="s">
        <v>4568</v>
      </c>
      <c r="E159" t="s">
        <v>4569</v>
      </c>
      <c r="L159" t="s">
        <v>79</v>
      </c>
      <c r="M159" t="s">
        <v>72</v>
      </c>
      <c r="R159" t="s">
        <v>4569</v>
      </c>
      <c r="W159" t="s">
        <v>4569</v>
      </c>
      <c r="X159" t="s">
        <v>204</v>
      </c>
      <c r="Y159" t="s">
        <v>117</v>
      </c>
      <c r="Z159" t="s">
        <v>73</v>
      </c>
      <c r="AA159" t="str">
        <f>"14263-0001"</f>
        <v>14263-0001</v>
      </c>
      <c r="AB159" t="s">
        <v>74</v>
      </c>
      <c r="AC159" t="s">
        <v>75</v>
      </c>
      <c r="AD159" t="s">
        <v>72</v>
      </c>
      <c r="AE159" t="s">
        <v>76</v>
      </c>
      <c r="AF159" t="s">
        <v>4043</v>
      </c>
      <c r="AG159" t="s">
        <v>77</v>
      </c>
    </row>
    <row r="160" spans="1:33" x14ac:dyDescent="0.25">
      <c r="A160" t="str">
        <f>"1114232543"</f>
        <v>1114232543</v>
      </c>
      <c r="B160" t="str">
        <f>"03291792"</f>
        <v>03291792</v>
      </c>
      <c r="C160" t="s">
        <v>4570</v>
      </c>
      <c r="D160" t="s">
        <v>4571</v>
      </c>
      <c r="E160" t="s">
        <v>4572</v>
      </c>
      <c r="L160" t="s">
        <v>71</v>
      </c>
      <c r="M160" t="s">
        <v>72</v>
      </c>
      <c r="R160" t="s">
        <v>4573</v>
      </c>
      <c r="W160" t="s">
        <v>4572</v>
      </c>
      <c r="X160" t="s">
        <v>204</v>
      </c>
      <c r="Y160" t="s">
        <v>117</v>
      </c>
      <c r="Z160" t="s">
        <v>73</v>
      </c>
      <c r="AA160" t="str">
        <f>"14263-0001"</f>
        <v>14263-0001</v>
      </c>
      <c r="AB160" t="s">
        <v>74</v>
      </c>
      <c r="AC160" t="s">
        <v>75</v>
      </c>
      <c r="AD160" t="s">
        <v>72</v>
      </c>
      <c r="AE160" t="s">
        <v>76</v>
      </c>
      <c r="AF160" t="s">
        <v>4043</v>
      </c>
      <c r="AG160" t="s">
        <v>77</v>
      </c>
    </row>
    <row r="161" spans="1:33" x14ac:dyDescent="0.25">
      <c r="A161" t="str">
        <f>"1447233101"</f>
        <v>1447233101</v>
      </c>
      <c r="B161" t="str">
        <f>"02651527"</f>
        <v>02651527</v>
      </c>
      <c r="C161" t="s">
        <v>4574</v>
      </c>
      <c r="D161" t="s">
        <v>4575</v>
      </c>
      <c r="E161" t="s">
        <v>4576</v>
      </c>
      <c r="L161" t="s">
        <v>71</v>
      </c>
      <c r="M161" t="s">
        <v>72</v>
      </c>
      <c r="R161" t="s">
        <v>4577</v>
      </c>
      <c r="W161" t="s">
        <v>4578</v>
      </c>
      <c r="X161" t="s">
        <v>1070</v>
      </c>
      <c r="Y161" t="s">
        <v>221</v>
      </c>
      <c r="Z161" t="s">
        <v>73</v>
      </c>
      <c r="AA161" t="str">
        <f>"14221-5838"</f>
        <v>14221-5838</v>
      </c>
      <c r="AB161" t="s">
        <v>74</v>
      </c>
      <c r="AC161" t="s">
        <v>75</v>
      </c>
      <c r="AD161" t="s">
        <v>72</v>
      </c>
      <c r="AE161" t="s">
        <v>76</v>
      </c>
      <c r="AF161" t="s">
        <v>4043</v>
      </c>
      <c r="AG161" t="s">
        <v>77</v>
      </c>
    </row>
    <row r="162" spans="1:33" x14ac:dyDescent="0.25">
      <c r="A162" t="str">
        <f>"1508007824"</f>
        <v>1508007824</v>
      </c>
      <c r="B162" t="str">
        <f>"03123017"</f>
        <v>03123017</v>
      </c>
      <c r="C162" t="s">
        <v>4579</v>
      </c>
      <c r="D162" t="s">
        <v>4580</v>
      </c>
      <c r="E162" t="s">
        <v>4581</v>
      </c>
      <c r="L162" t="s">
        <v>71</v>
      </c>
      <c r="M162" t="s">
        <v>72</v>
      </c>
      <c r="R162" t="s">
        <v>4582</v>
      </c>
      <c r="W162" t="s">
        <v>4583</v>
      </c>
      <c r="X162" t="s">
        <v>169</v>
      </c>
      <c r="Y162" t="s">
        <v>117</v>
      </c>
      <c r="Z162" t="s">
        <v>73</v>
      </c>
      <c r="AA162" t="str">
        <f>"14209-1120"</f>
        <v>14209-1120</v>
      </c>
      <c r="AB162" t="s">
        <v>74</v>
      </c>
      <c r="AC162" t="s">
        <v>75</v>
      </c>
      <c r="AD162" t="s">
        <v>72</v>
      </c>
      <c r="AE162" t="s">
        <v>76</v>
      </c>
      <c r="AF162" t="s">
        <v>4043</v>
      </c>
      <c r="AG162" t="s">
        <v>77</v>
      </c>
    </row>
    <row r="163" spans="1:33" x14ac:dyDescent="0.25">
      <c r="A163" t="str">
        <f>"1851706857"</f>
        <v>1851706857</v>
      </c>
      <c r="B163" t="str">
        <f>"04079223"</f>
        <v>04079223</v>
      </c>
      <c r="C163" t="s">
        <v>4584</v>
      </c>
      <c r="D163" t="s">
        <v>4585</v>
      </c>
      <c r="E163" t="s">
        <v>4586</v>
      </c>
      <c r="L163" t="s">
        <v>71</v>
      </c>
      <c r="M163" t="s">
        <v>72</v>
      </c>
      <c r="R163" t="s">
        <v>4587</v>
      </c>
      <c r="W163" t="s">
        <v>4586</v>
      </c>
      <c r="X163" t="s">
        <v>204</v>
      </c>
      <c r="Y163" t="s">
        <v>117</v>
      </c>
      <c r="Z163" t="s">
        <v>73</v>
      </c>
      <c r="AA163" t="str">
        <f>"14263-0001"</f>
        <v>14263-0001</v>
      </c>
      <c r="AB163" t="s">
        <v>74</v>
      </c>
      <c r="AC163" t="s">
        <v>75</v>
      </c>
      <c r="AD163" t="s">
        <v>72</v>
      </c>
      <c r="AE163" t="s">
        <v>76</v>
      </c>
      <c r="AF163" t="s">
        <v>4043</v>
      </c>
      <c r="AG163" t="s">
        <v>77</v>
      </c>
    </row>
    <row r="164" spans="1:33" x14ac:dyDescent="0.25">
      <c r="A164" t="str">
        <f>"1932174729"</f>
        <v>1932174729</v>
      </c>
      <c r="B164" t="str">
        <f>"02507239"</f>
        <v>02507239</v>
      </c>
      <c r="C164" t="s">
        <v>4588</v>
      </c>
      <c r="D164" t="s">
        <v>3438</v>
      </c>
      <c r="E164" t="s">
        <v>3439</v>
      </c>
      <c r="L164" t="s">
        <v>71</v>
      </c>
      <c r="M164" t="s">
        <v>72</v>
      </c>
      <c r="R164" t="s">
        <v>3440</v>
      </c>
      <c r="W164" t="s">
        <v>3441</v>
      </c>
      <c r="X164" t="s">
        <v>204</v>
      </c>
      <c r="Y164" t="s">
        <v>117</v>
      </c>
      <c r="Z164" t="s">
        <v>73</v>
      </c>
      <c r="AA164" t="str">
        <f>"14263-0001"</f>
        <v>14263-0001</v>
      </c>
      <c r="AB164" t="s">
        <v>74</v>
      </c>
      <c r="AC164" t="s">
        <v>75</v>
      </c>
      <c r="AD164" t="s">
        <v>72</v>
      </c>
      <c r="AE164" t="s">
        <v>76</v>
      </c>
      <c r="AF164" t="s">
        <v>4043</v>
      </c>
      <c r="AG164" t="s">
        <v>77</v>
      </c>
    </row>
    <row r="165" spans="1:33" x14ac:dyDescent="0.25">
      <c r="A165" t="str">
        <f>"1710219456"</f>
        <v>1710219456</v>
      </c>
      <c r="B165" t="str">
        <f>"03487749"</f>
        <v>03487749</v>
      </c>
      <c r="C165" t="s">
        <v>4589</v>
      </c>
      <c r="D165" t="s">
        <v>4590</v>
      </c>
      <c r="E165" t="s">
        <v>4591</v>
      </c>
      <c r="L165" t="s">
        <v>71</v>
      </c>
      <c r="M165" t="s">
        <v>72</v>
      </c>
      <c r="R165" t="s">
        <v>4592</v>
      </c>
      <c r="W165" t="s">
        <v>4591</v>
      </c>
      <c r="X165" t="s">
        <v>204</v>
      </c>
      <c r="Y165" t="s">
        <v>117</v>
      </c>
      <c r="Z165" t="s">
        <v>73</v>
      </c>
      <c r="AA165" t="str">
        <f>"14263-0001"</f>
        <v>14263-0001</v>
      </c>
      <c r="AB165" t="s">
        <v>74</v>
      </c>
      <c r="AC165" t="s">
        <v>75</v>
      </c>
      <c r="AD165" t="s">
        <v>72</v>
      </c>
      <c r="AE165" t="s">
        <v>76</v>
      </c>
      <c r="AF165" t="s">
        <v>4043</v>
      </c>
      <c r="AG165" t="s">
        <v>77</v>
      </c>
    </row>
    <row r="166" spans="1:33" x14ac:dyDescent="0.25">
      <c r="A166" t="str">
        <f>"1659377976"</f>
        <v>1659377976</v>
      </c>
      <c r="B166" t="str">
        <f>"01679414"</f>
        <v>01679414</v>
      </c>
      <c r="C166" t="s">
        <v>4593</v>
      </c>
      <c r="D166" t="s">
        <v>3071</v>
      </c>
      <c r="E166" t="s">
        <v>3072</v>
      </c>
      <c r="L166" t="s">
        <v>79</v>
      </c>
      <c r="M166" t="s">
        <v>72</v>
      </c>
      <c r="R166" t="s">
        <v>3073</v>
      </c>
      <c r="W166" t="s">
        <v>3072</v>
      </c>
      <c r="X166" t="s">
        <v>3074</v>
      </c>
      <c r="Y166" t="s">
        <v>343</v>
      </c>
      <c r="Z166" t="s">
        <v>73</v>
      </c>
      <c r="AA166" t="str">
        <f>"14411-9310"</f>
        <v>14411-9310</v>
      </c>
      <c r="AB166" t="s">
        <v>74</v>
      </c>
      <c r="AC166" t="s">
        <v>75</v>
      </c>
      <c r="AD166" t="s">
        <v>72</v>
      </c>
      <c r="AE166" t="s">
        <v>76</v>
      </c>
      <c r="AF166" t="s">
        <v>4043</v>
      </c>
      <c r="AG166" t="s">
        <v>77</v>
      </c>
    </row>
    <row r="167" spans="1:33" x14ac:dyDescent="0.25">
      <c r="A167" t="str">
        <f>"1508831397"</f>
        <v>1508831397</v>
      </c>
      <c r="B167" t="str">
        <f>"02394750"</f>
        <v>02394750</v>
      </c>
      <c r="C167" t="s">
        <v>4594</v>
      </c>
      <c r="D167" t="s">
        <v>4595</v>
      </c>
      <c r="E167" t="s">
        <v>4596</v>
      </c>
      <c r="L167" t="s">
        <v>79</v>
      </c>
      <c r="M167" t="s">
        <v>72</v>
      </c>
      <c r="R167" t="s">
        <v>4597</v>
      </c>
      <c r="W167" t="s">
        <v>4598</v>
      </c>
      <c r="X167" t="s">
        <v>204</v>
      </c>
      <c r="Y167" t="s">
        <v>117</v>
      </c>
      <c r="Z167" t="s">
        <v>73</v>
      </c>
      <c r="AA167" t="str">
        <f>"14263-0001"</f>
        <v>14263-0001</v>
      </c>
      <c r="AB167" t="s">
        <v>74</v>
      </c>
      <c r="AC167" t="s">
        <v>75</v>
      </c>
      <c r="AD167" t="s">
        <v>72</v>
      </c>
      <c r="AE167" t="s">
        <v>76</v>
      </c>
      <c r="AF167" t="s">
        <v>4043</v>
      </c>
      <c r="AG167" t="s">
        <v>77</v>
      </c>
    </row>
    <row r="168" spans="1:33" x14ac:dyDescent="0.25">
      <c r="A168" t="str">
        <f>"1225014541"</f>
        <v>1225014541</v>
      </c>
      <c r="B168" t="str">
        <f>"02729500"</f>
        <v>02729500</v>
      </c>
      <c r="C168" t="s">
        <v>4599</v>
      </c>
      <c r="D168" t="s">
        <v>4600</v>
      </c>
      <c r="E168" t="s">
        <v>4601</v>
      </c>
      <c r="L168" t="s">
        <v>71</v>
      </c>
      <c r="M168" t="s">
        <v>72</v>
      </c>
      <c r="R168" t="s">
        <v>4602</v>
      </c>
      <c r="W168" t="s">
        <v>4601</v>
      </c>
      <c r="X168" t="s">
        <v>204</v>
      </c>
      <c r="Y168" t="s">
        <v>117</v>
      </c>
      <c r="Z168" t="s">
        <v>73</v>
      </c>
      <c r="AA168" t="str">
        <f>"14263-0001"</f>
        <v>14263-0001</v>
      </c>
      <c r="AB168" t="s">
        <v>74</v>
      </c>
      <c r="AC168" t="s">
        <v>75</v>
      </c>
      <c r="AD168" t="s">
        <v>72</v>
      </c>
      <c r="AE168" t="s">
        <v>76</v>
      </c>
      <c r="AF168" t="s">
        <v>4043</v>
      </c>
      <c r="AG168" t="s">
        <v>77</v>
      </c>
    </row>
    <row r="169" spans="1:33" x14ac:dyDescent="0.25">
      <c r="A169" t="str">
        <f>"1316992985"</f>
        <v>1316992985</v>
      </c>
      <c r="B169" t="str">
        <f>"01734954"</f>
        <v>01734954</v>
      </c>
      <c r="C169" t="s">
        <v>4603</v>
      </c>
      <c r="D169" t="s">
        <v>4604</v>
      </c>
      <c r="E169" t="s">
        <v>4605</v>
      </c>
      <c r="L169" t="s">
        <v>71</v>
      </c>
      <c r="M169" t="s">
        <v>72</v>
      </c>
      <c r="R169" t="s">
        <v>4606</v>
      </c>
      <c r="W169" t="s">
        <v>4605</v>
      </c>
      <c r="X169" t="s">
        <v>1398</v>
      </c>
      <c r="Y169" t="s">
        <v>247</v>
      </c>
      <c r="Z169" t="s">
        <v>73</v>
      </c>
      <c r="AA169" t="str">
        <f>"14227-1528"</f>
        <v>14227-1528</v>
      </c>
      <c r="AB169" t="s">
        <v>74</v>
      </c>
      <c r="AC169" t="s">
        <v>75</v>
      </c>
      <c r="AD169" t="s">
        <v>72</v>
      </c>
      <c r="AE169" t="s">
        <v>76</v>
      </c>
      <c r="AF169" t="s">
        <v>3974</v>
      </c>
      <c r="AG169" t="s">
        <v>77</v>
      </c>
    </row>
    <row r="170" spans="1:33" x14ac:dyDescent="0.25">
      <c r="A170" t="str">
        <f>"1407847064"</f>
        <v>1407847064</v>
      </c>
      <c r="B170" t="str">
        <f>"02165084"</f>
        <v>02165084</v>
      </c>
      <c r="C170" t="s">
        <v>4607</v>
      </c>
      <c r="D170" t="s">
        <v>931</v>
      </c>
      <c r="E170" t="s">
        <v>932</v>
      </c>
      <c r="L170" t="s">
        <v>79</v>
      </c>
      <c r="M170" t="s">
        <v>72</v>
      </c>
      <c r="R170" t="s">
        <v>933</v>
      </c>
      <c r="W170" t="s">
        <v>934</v>
      </c>
      <c r="X170" t="s">
        <v>204</v>
      </c>
      <c r="Y170" t="s">
        <v>117</v>
      </c>
      <c r="Z170" t="s">
        <v>73</v>
      </c>
      <c r="AA170" t="str">
        <f>"14263-0001"</f>
        <v>14263-0001</v>
      </c>
      <c r="AB170" t="s">
        <v>74</v>
      </c>
      <c r="AC170" t="s">
        <v>75</v>
      </c>
      <c r="AD170" t="s">
        <v>72</v>
      </c>
      <c r="AE170" t="s">
        <v>76</v>
      </c>
      <c r="AF170" t="s">
        <v>4043</v>
      </c>
      <c r="AG170" t="s">
        <v>77</v>
      </c>
    </row>
    <row r="171" spans="1:33" x14ac:dyDescent="0.25">
      <c r="A171" t="str">
        <f>"1831147487"</f>
        <v>1831147487</v>
      </c>
      <c r="B171" t="str">
        <f>"02429665"</f>
        <v>02429665</v>
      </c>
      <c r="C171" t="s">
        <v>4608</v>
      </c>
      <c r="D171" t="s">
        <v>4609</v>
      </c>
      <c r="E171" t="s">
        <v>4610</v>
      </c>
      <c r="L171" t="s">
        <v>79</v>
      </c>
      <c r="M171" t="s">
        <v>72</v>
      </c>
      <c r="R171" t="s">
        <v>4611</v>
      </c>
      <c r="W171" t="s">
        <v>4610</v>
      </c>
      <c r="X171" t="s">
        <v>204</v>
      </c>
      <c r="Y171" t="s">
        <v>117</v>
      </c>
      <c r="Z171" t="s">
        <v>73</v>
      </c>
      <c r="AA171" t="str">
        <f>"14263-0001"</f>
        <v>14263-0001</v>
      </c>
      <c r="AB171" t="s">
        <v>74</v>
      </c>
      <c r="AC171" t="s">
        <v>75</v>
      </c>
      <c r="AD171" t="s">
        <v>72</v>
      </c>
      <c r="AE171" t="s">
        <v>76</v>
      </c>
      <c r="AF171" t="s">
        <v>4043</v>
      </c>
      <c r="AG171" t="s">
        <v>77</v>
      </c>
    </row>
    <row r="172" spans="1:33" x14ac:dyDescent="0.25">
      <c r="A172" t="str">
        <f>"1457316762"</f>
        <v>1457316762</v>
      </c>
      <c r="B172" t="str">
        <f>"01718083"</f>
        <v>01718083</v>
      </c>
      <c r="C172" t="s">
        <v>4612</v>
      </c>
      <c r="D172" t="s">
        <v>4613</v>
      </c>
      <c r="E172" t="s">
        <v>4614</v>
      </c>
      <c r="L172" t="s">
        <v>71</v>
      </c>
      <c r="M172" t="s">
        <v>72</v>
      </c>
      <c r="R172" t="s">
        <v>4615</v>
      </c>
      <c r="W172" t="s">
        <v>4614</v>
      </c>
      <c r="X172" t="s">
        <v>4616</v>
      </c>
      <c r="Y172" t="s">
        <v>237</v>
      </c>
      <c r="Z172" t="s">
        <v>73</v>
      </c>
      <c r="AA172" t="str">
        <f>"14224-3400"</f>
        <v>14224-3400</v>
      </c>
      <c r="AB172" t="s">
        <v>74</v>
      </c>
      <c r="AC172" t="s">
        <v>75</v>
      </c>
      <c r="AD172" t="s">
        <v>72</v>
      </c>
      <c r="AE172" t="s">
        <v>76</v>
      </c>
      <c r="AF172" t="s">
        <v>4043</v>
      </c>
      <c r="AG172" t="s">
        <v>77</v>
      </c>
    </row>
    <row r="173" spans="1:33" x14ac:dyDescent="0.25">
      <c r="A173" t="str">
        <f>"1558686519"</f>
        <v>1558686519</v>
      </c>
      <c r="B173" t="str">
        <f>"03234920"</f>
        <v>03234920</v>
      </c>
      <c r="C173" t="s">
        <v>4617</v>
      </c>
      <c r="D173" t="s">
        <v>4618</v>
      </c>
      <c r="E173" t="s">
        <v>4619</v>
      </c>
      <c r="L173" t="s">
        <v>71</v>
      </c>
      <c r="M173" t="s">
        <v>72</v>
      </c>
      <c r="R173" t="s">
        <v>4620</v>
      </c>
      <c r="W173" t="s">
        <v>4621</v>
      </c>
      <c r="X173" t="s">
        <v>204</v>
      </c>
      <c r="Y173" t="s">
        <v>117</v>
      </c>
      <c r="Z173" t="s">
        <v>73</v>
      </c>
      <c r="AA173" t="str">
        <f>"14263-0001"</f>
        <v>14263-0001</v>
      </c>
      <c r="AB173" t="s">
        <v>74</v>
      </c>
      <c r="AC173" t="s">
        <v>75</v>
      </c>
      <c r="AD173" t="s">
        <v>72</v>
      </c>
      <c r="AE173" t="s">
        <v>76</v>
      </c>
      <c r="AF173" t="s">
        <v>4043</v>
      </c>
      <c r="AG173" t="s">
        <v>77</v>
      </c>
    </row>
    <row r="174" spans="1:33" x14ac:dyDescent="0.25">
      <c r="A174" t="str">
        <f>"1225095110"</f>
        <v>1225095110</v>
      </c>
      <c r="B174" t="str">
        <f>"02625950"</f>
        <v>02625950</v>
      </c>
      <c r="C174" t="s">
        <v>4622</v>
      </c>
      <c r="D174" t="s">
        <v>4623</v>
      </c>
      <c r="E174" t="s">
        <v>4624</v>
      </c>
      <c r="L174" t="s">
        <v>79</v>
      </c>
      <c r="M174" t="s">
        <v>72</v>
      </c>
      <c r="R174" t="s">
        <v>4625</v>
      </c>
      <c r="W174" t="s">
        <v>4624</v>
      </c>
      <c r="X174" t="s">
        <v>204</v>
      </c>
      <c r="Y174" t="s">
        <v>117</v>
      </c>
      <c r="Z174" t="s">
        <v>73</v>
      </c>
      <c r="AA174" t="str">
        <f>"14263-0001"</f>
        <v>14263-0001</v>
      </c>
      <c r="AB174" t="s">
        <v>74</v>
      </c>
      <c r="AC174" t="s">
        <v>75</v>
      </c>
      <c r="AD174" t="s">
        <v>72</v>
      </c>
      <c r="AE174" t="s">
        <v>76</v>
      </c>
      <c r="AF174" t="s">
        <v>4043</v>
      </c>
      <c r="AG174" t="s">
        <v>77</v>
      </c>
    </row>
    <row r="175" spans="1:33" x14ac:dyDescent="0.25">
      <c r="A175" t="str">
        <f>"1720085665"</f>
        <v>1720085665</v>
      </c>
      <c r="B175" t="str">
        <f>"02172067"</f>
        <v>02172067</v>
      </c>
      <c r="C175" t="s">
        <v>4626</v>
      </c>
      <c r="D175" t="s">
        <v>4627</v>
      </c>
      <c r="E175" t="s">
        <v>4628</v>
      </c>
      <c r="L175" t="s">
        <v>71</v>
      </c>
      <c r="M175" t="s">
        <v>72</v>
      </c>
      <c r="R175" t="s">
        <v>4629</v>
      </c>
      <c r="W175" t="s">
        <v>4630</v>
      </c>
      <c r="X175" t="s">
        <v>204</v>
      </c>
      <c r="Y175" t="s">
        <v>117</v>
      </c>
      <c r="Z175" t="s">
        <v>73</v>
      </c>
      <c r="AA175" t="str">
        <f>"14263-0001"</f>
        <v>14263-0001</v>
      </c>
      <c r="AB175" t="s">
        <v>74</v>
      </c>
      <c r="AC175" t="s">
        <v>75</v>
      </c>
      <c r="AD175" t="s">
        <v>72</v>
      </c>
      <c r="AE175" t="s">
        <v>76</v>
      </c>
      <c r="AF175" t="s">
        <v>4043</v>
      </c>
      <c r="AG175" t="s">
        <v>77</v>
      </c>
    </row>
    <row r="176" spans="1:33" x14ac:dyDescent="0.25">
      <c r="A176" t="str">
        <f>"1699700534"</f>
        <v>1699700534</v>
      </c>
      <c r="B176" t="str">
        <f>"02341422"</f>
        <v>02341422</v>
      </c>
      <c r="C176" t="s">
        <v>4631</v>
      </c>
      <c r="D176" t="s">
        <v>842</v>
      </c>
      <c r="E176" t="s">
        <v>843</v>
      </c>
      <c r="L176" t="s">
        <v>79</v>
      </c>
      <c r="M176" t="s">
        <v>72</v>
      </c>
      <c r="R176" t="s">
        <v>844</v>
      </c>
      <c r="W176" t="s">
        <v>843</v>
      </c>
      <c r="X176" t="s">
        <v>234</v>
      </c>
      <c r="Y176" t="s">
        <v>117</v>
      </c>
      <c r="Z176" t="s">
        <v>73</v>
      </c>
      <c r="AA176" t="str">
        <f>"14220-2039"</f>
        <v>14220-2039</v>
      </c>
      <c r="AB176" t="s">
        <v>74</v>
      </c>
      <c r="AC176" t="s">
        <v>75</v>
      </c>
      <c r="AD176" t="s">
        <v>72</v>
      </c>
      <c r="AE176" t="s">
        <v>76</v>
      </c>
      <c r="AF176" t="s">
        <v>4043</v>
      </c>
      <c r="AG176" t="s">
        <v>77</v>
      </c>
    </row>
    <row r="177" spans="1:33" x14ac:dyDescent="0.25">
      <c r="A177" t="str">
        <f>"1922161322"</f>
        <v>1922161322</v>
      </c>
      <c r="B177" t="str">
        <f>"02352394"</f>
        <v>02352394</v>
      </c>
      <c r="C177" t="s">
        <v>4632</v>
      </c>
      <c r="D177" t="s">
        <v>4633</v>
      </c>
      <c r="E177" t="s">
        <v>4634</v>
      </c>
      <c r="L177" t="s">
        <v>71</v>
      </c>
      <c r="M177" t="s">
        <v>72</v>
      </c>
      <c r="R177" t="s">
        <v>4635</v>
      </c>
      <c r="W177" t="s">
        <v>4634</v>
      </c>
      <c r="X177" t="s">
        <v>393</v>
      </c>
      <c r="Y177" t="s">
        <v>228</v>
      </c>
      <c r="Z177" t="s">
        <v>73</v>
      </c>
      <c r="AA177" t="str">
        <f>"14226-1727"</f>
        <v>14226-1727</v>
      </c>
      <c r="AB177" t="s">
        <v>74</v>
      </c>
      <c r="AC177" t="s">
        <v>75</v>
      </c>
      <c r="AD177" t="s">
        <v>72</v>
      </c>
      <c r="AE177" t="s">
        <v>76</v>
      </c>
      <c r="AF177" t="s">
        <v>3974</v>
      </c>
      <c r="AG177" t="s">
        <v>77</v>
      </c>
    </row>
    <row r="178" spans="1:33" x14ac:dyDescent="0.25">
      <c r="A178" t="str">
        <f>"1497818173"</f>
        <v>1497818173</v>
      </c>
      <c r="B178" t="str">
        <f>"02836446"</f>
        <v>02836446</v>
      </c>
      <c r="C178" t="s">
        <v>4636</v>
      </c>
      <c r="D178" t="s">
        <v>1530</v>
      </c>
      <c r="E178" t="s">
        <v>1531</v>
      </c>
      <c r="G178" t="s">
        <v>4637</v>
      </c>
      <c r="H178" t="s">
        <v>1532</v>
      </c>
      <c r="J178" t="s">
        <v>4638</v>
      </c>
      <c r="L178" t="s">
        <v>80</v>
      </c>
      <c r="M178" t="s">
        <v>81</v>
      </c>
      <c r="R178" t="s">
        <v>1531</v>
      </c>
      <c r="W178" t="s">
        <v>1531</v>
      </c>
      <c r="X178" t="s">
        <v>1533</v>
      </c>
      <c r="Y178" t="s">
        <v>117</v>
      </c>
      <c r="Z178" t="s">
        <v>73</v>
      </c>
      <c r="AA178" t="str">
        <f>"14202-1110"</f>
        <v>14202-1110</v>
      </c>
      <c r="AB178" t="s">
        <v>74</v>
      </c>
      <c r="AC178" t="s">
        <v>75</v>
      </c>
      <c r="AD178" t="s">
        <v>72</v>
      </c>
      <c r="AE178" t="s">
        <v>76</v>
      </c>
      <c r="AF178" t="s">
        <v>3961</v>
      </c>
      <c r="AG178" t="s">
        <v>77</v>
      </c>
    </row>
    <row r="179" spans="1:33" x14ac:dyDescent="0.25">
      <c r="A179" t="str">
        <f>"1689909020"</f>
        <v>1689909020</v>
      </c>
      <c r="B179" t="str">
        <f>"03164367"</f>
        <v>03164367</v>
      </c>
      <c r="C179" t="s">
        <v>4639</v>
      </c>
      <c r="D179" t="s">
        <v>4640</v>
      </c>
      <c r="E179" t="s">
        <v>4641</v>
      </c>
      <c r="G179" t="s">
        <v>4639</v>
      </c>
      <c r="H179" t="s">
        <v>4642</v>
      </c>
      <c r="L179" t="s">
        <v>80</v>
      </c>
      <c r="M179" t="s">
        <v>81</v>
      </c>
      <c r="R179" t="s">
        <v>4643</v>
      </c>
      <c r="W179" t="s">
        <v>4641</v>
      </c>
      <c r="X179" t="s">
        <v>3892</v>
      </c>
      <c r="Y179" t="s">
        <v>317</v>
      </c>
      <c r="Z179" t="s">
        <v>73</v>
      </c>
      <c r="AA179" t="str">
        <f>"14218-1156"</f>
        <v>14218-1156</v>
      </c>
      <c r="AB179" t="s">
        <v>74</v>
      </c>
      <c r="AC179" t="s">
        <v>75</v>
      </c>
      <c r="AD179" t="s">
        <v>72</v>
      </c>
      <c r="AE179" t="s">
        <v>76</v>
      </c>
      <c r="AF179" t="s">
        <v>3961</v>
      </c>
      <c r="AG179" t="s">
        <v>77</v>
      </c>
    </row>
    <row r="180" spans="1:33" x14ac:dyDescent="0.25">
      <c r="A180" t="str">
        <f>"1225057037"</f>
        <v>1225057037</v>
      </c>
      <c r="B180" t="str">
        <f>"02505246"</f>
        <v>02505246</v>
      </c>
      <c r="C180" t="s">
        <v>4644</v>
      </c>
      <c r="D180" t="s">
        <v>4645</v>
      </c>
      <c r="E180" t="s">
        <v>4646</v>
      </c>
      <c r="G180" t="s">
        <v>4647</v>
      </c>
      <c r="H180" t="s">
        <v>2062</v>
      </c>
      <c r="J180" t="s">
        <v>4648</v>
      </c>
      <c r="L180" t="s">
        <v>80</v>
      </c>
      <c r="M180" t="s">
        <v>72</v>
      </c>
      <c r="R180" t="s">
        <v>4649</v>
      </c>
      <c r="W180" t="s">
        <v>4646</v>
      </c>
      <c r="X180" t="s">
        <v>4650</v>
      </c>
      <c r="Y180" t="s">
        <v>221</v>
      </c>
      <c r="Z180" t="s">
        <v>73</v>
      </c>
      <c r="AA180" t="str">
        <f>"14221-5367"</f>
        <v>14221-5367</v>
      </c>
      <c r="AB180" t="s">
        <v>74</v>
      </c>
      <c r="AC180" t="s">
        <v>75</v>
      </c>
      <c r="AD180" t="s">
        <v>72</v>
      </c>
      <c r="AE180" t="s">
        <v>76</v>
      </c>
      <c r="AF180" t="s">
        <v>3961</v>
      </c>
      <c r="AG180" t="s">
        <v>77</v>
      </c>
    </row>
    <row r="181" spans="1:33" x14ac:dyDescent="0.25">
      <c r="A181" t="str">
        <f>"1558318949"</f>
        <v>1558318949</v>
      </c>
      <c r="B181" t="str">
        <f>"01833590"</f>
        <v>01833590</v>
      </c>
      <c r="C181" t="s">
        <v>4651</v>
      </c>
      <c r="D181" t="s">
        <v>1460</v>
      </c>
      <c r="E181" t="s">
        <v>1461</v>
      </c>
      <c r="G181" t="s">
        <v>4652</v>
      </c>
      <c r="H181" t="s">
        <v>672</v>
      </c>
      <c r="J181" t="s">
        <v>4653</v>
      </c>
      <c r="L181" t="s">
        <v>80</v>
      </c>
      <c r="M181" t="s">
        <v>72</v>
      </c>
      <c r="R181" t="s">
        <v>1462</v>
      </c>
      <c r="W181" t="s">
        <v>1461</v>
      </c>
      <c r="X181" t="s">
        <v>1463</v>
      </c>
      <c r="Y181" t="s">
        <v>247</v>
      </c>
      <c r="Z181" t="s">
        <v>73</v>
      </c>
      <c r="AA181" t="str">
        <f>"14225-3140"</f>
        <v>14225-3140</v>
      </c>
      <c r="AB181" t="s">
        <v>74</v>
      </c>
      <c r="AC181" t="s">
        <v>75</v>
      </c>
      <c r="AD181" t="s">
        <v>72</v>
      </c>
      <c r="AE181" t="s">
        <v>76</v>
      </c>
      <c r="AF181" t="s">
        <v>3961</v>
      </c>
      <c r="AG181" t="s">
        <v>77</v>
      </c>
    </row>
    <row r="182" spans="1:33" x14ac:dyDescent="0.25">
      <c r="A182" t="str">
        <f>"1699731588"</f>
        <v>1699731588</v>
      </c>
      <c r="B182" t="str">
        <f>"01885143"</f>
        <v>01885143</v>
      </c>
      <c r="C182" t="s">
        <v>4654</v>
      </c>
      <c r="D182" t="s">
        <v>4655</v>
      </c>
      <c r="E182" t="s">
        <v>4656</v>
      </c>
      <c r="G182" t="s">
        <v>4657</v>
      </c>
      <c r="H182" t="s">
        <v>4658</v>
      </c>
      <c r="J182" t="s">
        <v>4659</v>
      </c>
      <c r="L182" t="s">
        <v>80</v>
      </c>
      <c r="M182" t="s">
        <v>72</v>
      </c>
      <c r="R182" t="s">
        <v>4660</v>
      </c>
      <c r="W182" t="s">
        <v>4656</v>
      </c>
      <c r="X182" t="s">
        <v>3028</v>
      </c>
      <c r="Y182" t="s">
        <v>455</v>
      </c>
      <c r="Z182" t="s">
        <v>73</v>
      </c>
      <c r="AA182" t="str">
        <f>"14026-1038"</f>
        <v>14026-1038</v>
      </c>
      <c r="AB182" t="s">
        <v>74</v>
      </c>
      <c r="AC182" t="s">
        <v>75</v>
      </c>
      <c r="AD182" t="s">
        <v>72</v>
      </c>
      <c r="AE182" t="s">
        <v>76</v>
      </c>
      <c r="AF182" t="s">
        <v>3961</v>
      </c>
      <c r="AG182" t="s">
        <v>77</v>
      </c>
    </row>
    <row r="183" spans="1:33" x14ac:dyDescent="0.25">
      <c r="A183" t="str">
        <f>"1396058012"</f>
        <v>1396058012</v>
      </c>
      <c r="B183" t="str">
        <f>"03585655"</f>
        <v>03585655</v>
      </c>
      <c r="C183" t="s">
        <v>4661</v>
      </c>
      <c r="D183" t="s">
        <v>4662</v>
      </c>
      <c r="E183" t="s">
        <v>4663</v>
      </c>
      <c r="G183" t="s">
        <v>3969</v>
      </c>
      <c r="H183" t="s">
        <v>3970</v>
      </c>
      <c r="J183" t="s">
        <v>3971</v>
      </c>
      <c r="L183" t="s">
        <v>79</v>
      </c>
      <c r="M183" t="s">
        <v>72</v>
      </c>
      <c r="R183" t="s">
        <v>4664</v>
      </c>
      <c r="W183" t="s">
        <v>4665</v>
      </c>
      <c r="X183" t="s">
        <v>234</v>
      </c>
      <c r="Y183" t="s">
        <v>117</v>
      </c>
      <c r="Z183" t="s">
        <v>73</v>
      </c>
      <c r="AA183" t="str">
        <f>"14220-2039"</f>
        <v>14220-2039</v>
      </c>
      <c r="AB183" t="s">
        <v>74</v>
      </c>
      <c r="AC183" t="s">
        <v>75</v>
      </c>
      <c r="AD183" t="s">
        <v>72</v>
      </c>
      <c r="AE183" t="s">
        <v>76</v>
      </c>
      <c r="AF183" t="s">
        <v>3974</v>
      </c>
      <c r="AG183" t="s">
        <v>77</v>
      </c>
    </row>
    <row r="184" spans="1:33" x14ac:dyDescent="0.25">
      <c r="A184" t="str">
        <f>"1033117809"</f>
        <v>1033117809</v>
      </c>
      <c r="B184" t="str">
        <f>"01856573"</f>
        <v>01856573</v>
      </c>
      <c r="C184" t="s">
        <v>4666</v>
      </c>
      <c r="D184" t="s">
        <v>1984</v>
      </c>
      <c r="E184" t="s">
        <v>1985</v>
      </c>
      <c r="G184" t="s">
        <v>4637</v>
      </c>
      <c r="H184" t="s">
        <v>1532</v>
      </c>
      <c r="J184" t="s">
        <v>4638</v>
      </c>
      <c r="L184" t="s">
        <v>80</v>
      </c>
      <c r="M184" t="s">
        <v>81</v>
      </c>
      <c r="R184" t="s">
        <v>1986</v>
      </c>
      <c r="W184" t="s">
        <v>1985</v>
      </c>
      <c r="X184" t="s">
        <v>735</v>
      </c>
      <c r="Y184" t="s">
        <v>117</v>
      </c>
      <c r="Z184" t="s">
        <v>73</v>
      </c>
      <c r="AA184" t="str">
        <f>"14222-2006"</f>
        <v>14222-2006</v>
      </c>
      <c r="AB184" t="s">
        <v>74</v>
      </c>
      <c r="AC184" t="s">
        <v>75</v>
      </c>
      <c r="AD184" t="s">
        <v>72</v>
      </c>
      <c r="AE184" t="s">
        <v>76</v>
      </c>
      <c r="AF184" t="s">
        <v>3961</v>
      </c>
      <c r="AG184" t="s">
        <v>77</v>
      </c>
    </row>
    <row r="185" spans="1:33" x14ac:dyDescent="0.25">
      <c r="A185" t="str">
        <f>"1689646739"</f>
        <v>1689646739</v>
      </c>
      <c r="B185" t="str">
        <f>"02461365"</f>
        <v>02461365</v>
      </c>
      <c r="C185" t="s">
        <v>4667</v>
      </c>
      <c r="D185" t="s">
        <v>2245</v>
      </c>
      <c r="E185" t="s">
        <v>2246</v>
      </c>
      <c r="G185" t="s">
        <v>4667</v>
      </c>
      <c r="H185" t="s">
        <v>2247</v>
      </c>
      <c r="J185" t="s">
        <v>4668</v>
      </c>
      <c r="L185" t="s">
        <v>71</v>
      </c>
      <c r="M185" t="s">
        <v>72</v>
      </c>
      <c r="R185" t="s">
        <v>2248</v>
      </c>
      <c r="W185" t="s">
        <v>2246</v>
      </c>
      <c r="X185" t="s">
        <v>169</v>
      </c>
      <c r="Y185" t="s">
        <v>117</v>
      </c>
      <c r="Z185" t="s">
        <v>73</v>
      </c>
      <c r="AA185" t="str">
        <f>"14209-1120"</f>
        <v>14209-1120</v>
      </c>
      <c r="AB185" t="s">
        <v>74</v>
      </c>
      <c r="AC185" t="s">
        <v>75</v>
      </c>
      <c r="AD185" t="s">
        <v>72</v>
      </c>
      <c r="AE185" t="s">
        <v>76</v>
      </c>
      <c r="AF185" t="s">
        <v>3974</v>
      </c>
      <c r="AG185" t="s">
        <v>77</v>
      </c>
    </row>
    <row r="186" spans="1:33" x14ac:dyDescent="0.25">
      <c r="A186" t="str">
        <f>"1881687358"</f>
        <v>1881687358</v>
      </c>
      <c r="B186" t="str">
        <f>"00758347"</f>
        <v>00758347</v>
      </c>
      <c r="C186" t="s">
        <v>4669</v>
      </c>
      <c r="D186" t="s">
        <v>3541</v>
      </c>
      <c r="E186" t="s">
        <v>3542</v>
      </c>
      <c r="G186" t="s">
        <v>4670</v>
      </c>
      <c r="H186" t="s">
        <v>2321</v>
      </c>
      <c r="J186" t="s">
        <v>4671</v>
      </c>
      <c r="L186" t="s">
        <v>80</v>
      </c>
      <c r="M186" t="s">
        <v>72</v>
      </c>
      <c r="R186" t="s">
        <v>3543</v>
      </c>
      <c r="W186" t="s">
        <v>3544</v>
      </c>
      <c r="X186" t="s">
        <v>169</v>
      </c>
      <c r="Y186" t="s">
        <v>117</v>
      </c>
      <c r="Z186" t="s">
        <v>73</v>
      </c>
      <c r="AA186" t="str">
        <f>"14209-1120"</f>
        <v>14209-1120</v>
      </c>
      <c r="AB186" t="s">
        <v>74</v>
      </c>
      <c r="AC186" t="s">
        <v>75</v>
      </c>
      <c r="AD186" t="s">
        <v>72</v>
      </c>
      <c r="AE186" t="s">
        <v>76</v>
      </c>
      <c r="AF186" t="s">
        <v>3961</v>
      </c>
      <c r="AG186" t="s">
        <v>77</v>
      </c>
    </row>
    <row r="187" spans="1:33" x14ac:dyDescent="0.25">
      <c r="A187" t="str">
        <f>"1710944632"</f>
        <v>1710944632</v>
      </c>
      <c r="B187" t="str">
        <f>"01735400"</f>
        <v>01735400</v>
      </c>
      <c r="C187" t="s">
        <v>4672</v>
      </c>
      <c r="D187" t="s">
        <v>1389</v>
      </c>
      <c r="E187" t="s">
        <v>1390</v>
      </c>
      <c r="G187" t="s">
        <v>4673</v>
      </c>
      <c r="H187" t="s">
        <v>4674</v>
      </c>
      <c r="J187" t="s">
        <v>4675</v>
      </c>
      <c r="L187" t="s">
        <v>79</v>
      </c>
      <c r="M187" t="s">
        <v>72</v>
      </c>
      <c r="R187" t="s">
        <v>1391</v>
      </c>
      <c r="W187" t="s">
        <v>1390</v>
      </c>
      <c r="X187" t="s">
        <v>1392</v>
      </c>
      <c r="Y187" t="s">
        <v>117</v>
      </c>
      <c r="Z187" t="s">
        <v>73</v>
      </c>
      <c r="AA187" t="str">
        <f>"14220-1700"</f>
        <v>14220-1700</v>
      </c>
      <c r="AB187" t="s">
        <v>74</v>
      </c>
      <c r="AC187" t="s">
        <v>75</v>
      </c>
      <c r="AD187" t="s">
        <v>72</v>
      </c>
      <c r="AE187" t="s">
        <v>76</v>
      </c>
      <c r="AF187" t="s">
        <v>3974</v>
      </c>
      <c r="AG187" t="s">
        <v>77</v>
      </c>
    </row>
    <row r="188" spans="1:33" x14ac:dyDescent="0.25">
      <c r="A188" t="str">
        <f>"1952306201"</f>
        <v>1952306201</v>
      </c>
      <c r="B188" t="str">
        <f>"00607167"</f>
        <v>00607167</v>
      </c>
      <c r="C188" t="s">
        <v>4676</v>
      </c>
      <c r="D188" t="s">
        <v>2266</v>
      </c>
      <c r="E188" t="s">
        <v>2267</v>
      </c>
      <c r="G188" t="s">
        <v>4677</v>
      </c>
      <c r="H188" t="s">
        <v>1949</v>
      </c>
      <c r="J188" t="s">
        <v>4678</v>
      </c>
      <c r="L188" t="s">
        <v>79</v>
      </c>
      <c r="M188" t="s">
        <v>72</v>
      </c>
      <c r="R188" t="s">
        <v>2268</v>
      </c>
      <c r="W188" t="s">
        <v>2269</v>
      </c>
      <c r="X188" t="s">
        <v>1952</v>
      </c>
      <c r="Y188" t="s">
        <v>436</v>
      </c>
      <c r="Z188" t="s">
        <v>73</v>
      </c>
      <c r="AA188" t="str">
        <f>"14217-1094"</f>
        <v>14217-1094</v>
      </c>
      <c r="AB188" t="s">
        <v>74</v>
      </c>
      <c r="AC188" t="s">
        <v>75</v>
      </c>
      <c r="AD188" t="s">
        <v>72</v>
      </c>
      <c r="AE188" t="s">
        <v>76</v>
      </c>
      <c r="AF188" t="s">
        <v>4043</v>
      </c>
      <c r="AG188" t="s">
        <v>77</v>
      </c>
    </row>
    <row r="189" spans="1:33" x14ac:dyDescent="0.25">
      <c r="A189" t="str">
        <f>"1144283425"</f>
        <v>1144283425</v>
      </c>
      <c r="B189" t="str">
        <f>"00594770"</f>
        <v>00594770</v>
      </c>
      <c r="C189" t="s">
        <v>4679</v>
      </c>
      <c r="D189" t="s">
        <v>2848</v>
      </c>
      <c r="E189" t="s">
        <v>2849</v>
      </c>
      <c r="G189" t="s">
        <v>4680</v>
      </c>
      <c r="H189" t="s">
        <v>4681</v>
      </c>
      <c r="J189" t="s">
        <v>4682</v>
      </c>
      <c r="L189" t="s">
        <v>71</v>
      </c>
      <c r="M189" t="s">
        <v>72</v>
      </c>
      <c r="R189" t="s">
        <v>2850</v>
      </c>
      <c r="W189" t="s">
        <v>2849</v>
      </c>
      <c r="X189" t="s">
        <v>1425</v>
      </c>
      <c r="Y189" t="s">
        <v>228</v>
      </c>
      <c r="Z189" t="s">
        <v>73</v>
      </c>
      <c r="AA189" t="str">
        <f>"14226-1206"</f>
        <v>14226-1206</v>
      </c>
      <c r="AB189" t="s">
        <v>74</v>
      </c>
      <c r="AC189" t="s">
        <v>75</v>
      </c>
      <c r="AD189" t="s">
        <v>72</v>
      </c>
      <c r="AE189" t="s">
        <v>76</v>
      </c>
      <c r="AF189" t="s">
        <v>3974</v>
      </c>
      <c r="AG189" t="s">
        <v>77</v>
      </c>
    </row>
    <row r="190" spans="1:33" x14ac:dyDescent="0.25">
      <c r="A190" t="str">
        <f>"1710942859"</f>
        <v>1710942859</v>
      </c>
      <c r="B190" t="str">
        <f>"01661027"</f>
        <v>01661027</v>
      </c>
      <c r="C190" t="s">
        <v>4683</v>
      </c>
      <c r="D190" t="s">
        <v>2651</v>
      </c>
      <c r="E190" t="s">
        <v>2652</v>
      </c>
      <c r="G190" t="s">
        <v>4683</v>
      </c>
      <c r="H190" t="s">
        <v>1131</v>
      </c>
      <c r="J190" t="s">
        <v>4684</v>
      </c>
      <c r="L190" t="s">
        <v>79</v>
      </c>
      <c r="M190" t="s">
        <v>72</v>
      </c>
      <c r="R190" t="s">
        <v>320</v>
      </c>
      <c r="W190" t="s">
        <v>2652</v>
      </c>
      <c r="X190" t="s">
        <v>243</v>
      </c>
      <c r="Y190" t="s">
        <v>117</v>
      </c>
      <c r="Z190" t="s">
        <v>73</v>
      </c>
      <c r="AA190" t="str">
        <f>"14203-1126"</f>
        <v>14203-1126</v>
      </c>
      <c r="AB190" t="s">
        <v>74</v>
      </c>
      <c r="AC190" t="s">
        <v>75</v>
      </c>
      <c r="AD190" t="s">
        <v>72</v>
      </c>
      <c r="AE190" t="s">
        <v>76</v>
      </c>
      <c r="AG190" t="s">
        <v>77</v>
      </c>
    </row>
    <row r="191" spans="1:33" x14ac:dyDescent="0.25">
      <c r="A191" t="str">
        <f>"1386604775"</f>
        <v>1386604775</v>
      </c>
      <c r="B191" t="str">
        <f>"01597039"</f>
        <v>01597039</v>
      </c>
      <c r="C191" t="s">
        <v>4685</v>
      </c>
      <c r="D191" t="s">
        <v>4686</v>
      </c>
      <c r="E191" t="s">
        <v>4687</v>
      </c>
      <c r="G191" t="s">
        <v>4688</v>
      </c>
      <c r="H191" t="s">
        <v>3111</v>
      </c>
      <c r="J191" t="s">
        <v>4689</v>
      </c>
      <c r="L191" t="s">
        <v>80</v>
      </c>
      <c r="M191" t="s">
        <v>72</v>
      </c>
      <c r="R191" t="s">
        <v>4690</v>
      </c>
      <c r="W191" t="s">
        <v>4687</v>
      </c>
      <c r="X191" t="s">
        <v>2606</v>
      </c>
      <c r="Y191" t="s">
        <v>117</v>
      </c>
      <c r="Z191" t="s">
        <v>73</v>
      </c>
      <c r="AA191" t="str">
        <f>"14224-1945"</f>
        <v>14224-1945</v>
      </c>
      <c r="AB191" t="s">
        <v>74</v>
      </c>
      <c r="AC191" t="s">
        <v>75</v>
      </c>
      <c r="AD191" t="s">
        <v>72</v>
      </c>
      <c r="AE191" t="s">
        <v>76</v>
      </c>
      <c r="AF191" t="s">
        <v>3961</v>
      </c>
      <c r="AG191" t="s">
        <v>77</v>
      </c>
    </row>
    <row r="192" spans="1:33" x14ac:dyDescent="0.25">
      <c r="A192" t="str">
        <f>"1346599495"</f>
        <v>1346599495</v>
      </c>
      <c r="B192" t="str">
        <f>"03504556"</f>
        <v>03504556</v>
      </c>
      <c r="C192" t="s">
        <v>4691</v>
      </c>
      <c r="D192" t="s">
        <v>4692</v>
      </c>
      <c r="E192" t="s">
        <v>4693</v>
      </c>
      <c r="G192" t="s">
        <v>4694</v>
      </c>
      <c r="H192" t="s">
        <v>729</v>
      </c>
      <c r="J192" t="s">
        <v>4695</v>
      </c>
      <c r="L192" t="s">
        <v>79</v>
      </c>
      <c r="M192" t="s">
        <v>72</v>
      </c>
      <c r="R192" t="s">
        <v>4696</v>
      </c>
      <c r="W192" t="s">
        <v>4693</v>
      </c>
      <c r="X192" t="s">
        <v>4697</v>
      </c>
      <c r="Y192" t="s">
        <v>242</v>
      </c>
      <c r="Z192" t="s">
        <v>73</v>
      </c>
      <c r="AA192" t="str">
        <f>"14701-6947"</f>
        <v>14701-6947</v>
      </c>
      <c r="AB192" t="s">
        <v>74</v>
      </c>
      <c r="AC192" t="s">
        <v>75</v>
      </c>
      <c r="AD192" t="s">
        <v>72</v>
      </c>
      <c r="AE192" t="s">
        <v>76</v>
      </c>
      <c r="AF192" t="s">
        <v>3974</v>
      </c>
      <c r="AG192" t="s">
        <v>77</v>
      </c>
    </row>
    <row r="193" spans="1:33" x14ac:dyDescent="0.25">
      <c r="A193" t="str">
        <f>"1588623714"</f>
        <v>1588623714</v>
      </c>
      <c r="B193" t="str">
        <f>"01086424"</f>
        <v>01086424</v>
      </c>
      <c r="C193" t="s">
        <v>4698</v>
      </c>
      <c r="D193" t="s">
        <v>4699</v>
      </c>
      <c r="E193" t="s">
        <v>4700</v>
      </c>
      <c r="G193" t="s">
        <v>4670</v>
      </c>
      <c r="H193" t="s">
        <v>2321</v>
      </c>
      <c r="J193" t="s">
        <v>4671</v>
      </c>
      <c r="L193" t="s">
        <v>80</v>
      </c>
      <c r="M193" t="s">
        <v>72</v>
      </c>
      <c r="R193" t="s">
        <v>1400</v>
      </c>
      <c r="W193" t="s">
        <v>4700</v>
      </c>
      <c r="X193" t="s">
        <v>3692</v>
      </c>
      <c r="Y193" t="s">
        <v>436</v>
      </c>
      <c r="Z193" t="s">
        <v>73</v>
      </c>
      <c r="AA193" t="str">
        <f>"14217-1332"</f>
        <v>14217-1332</v>
      </c>
      <c r="AB193" t="s">
        <v>74</v>
      </c>
      <c r="AC193" t="s">
        <v>75</v>
      </c>
      <c r="AD193" t="s">
        <v>72</v>
      </c>
      <c r="AE193" t="s">
        <v>76</v>
      </c>
      <c r="AF193" t="s">
        <v>3961</v>
      </c>
      <c r="AG193" t="s">
        <v>77</v>
      </c>
    </row>
    <row r="194" spans="1:33" x14ac:dyDescent="0.25">
      <c r="A194" t="str">
        <f>"1740569805"</f>
        <v>1740569805</v>
      </c>
      <c r="B194" t="str">
        <f>"03383915"</f>
        <v>03383915</v>
      </c>
      <c r="C194" t="s">
        <v>4701</v>
      </c>
      <c r="D194" t="s">
        <v>984</v>
      </c>
      <c r="E194" t="s">
        <v>985</v>
      </c>
      <c r="G194" t="s">
        <v>4702</v>
      </c>
      <c r="H194" t="s">
        <v>803</v>
      </c>
      <c r="J194" t="s">
        <v>4703</v>
      </c>
      <c r="L194" t="s">
        <v>79</v>
      </c>
      <c r="M194" t="s">
        <v>72</v>
      </c>
      <c r="R194" t="s">
        <v>985</v>
      </c>
      <c r="W194" t="s">
        <v>985</v>
      </c>
      <c r="X194" t="s">
        <v>986</v>
      </c>
      <c r="Y194" t="s">
        <v>570</v>
      </c>
      <c r="Z194" t="s">
        <v>73</v>
      </c>
      <c r="AA194" t="str">
        <f>"14051-2610"</f>
        <v>14051-2610</v>
      </c>
      <c r="AB194" t="s">
        <v>74</v>
      </c>
      <c r="AC194" t="s">
        <v>75</v>
      </c>
      <c r="AD194" t="s">
        <v>72</v>
      </c>
      <c r="AE194" t="s">
        <v>76</v>
      </c>
      <c r="AF194" t="s">
        <v>3974</v>
      </c>
      <c r="AG194" t="s">
        <v>77</v>
      </c>
    </row>
    <row r="195" spans="1:33" x14ac:dyDescent="0.25">
      <c r="A195" t="str">
        <f>"1093771396"</f>
        <v>1093771396</v>
      </c>
      <c r="B195" t="str">
        <f>"01781759"</f>
        <v>01781759</v>
      </c>
      <c r="C195" t="s">
        <v>4704</v>
      </c>
      <c r="D195" t="s">
        <v>4705</v>
      </c>
      <c r="E195" t="s">
        <v>4706</v>
      </c>
      <c r="G195" t="s">
        <v>4657</v>
      </c>
      <c r="H195" t="s">
        <v>4658</v>
      </c>
      <c r="J195" t="s">
        <v>4659</v>
      </c>
      <c r="L195" t="s">
        <v>80</v>
      </c>
      <c r="M195" t="s">
        <v>72</v>
      </c>
      <c r="R195" t="s">
        <v>4707</v>
      </c>
      <c r="W195" t="s">
        <v>4708</v>
      </c>
      <c r="X195" t="s">
        <v>4709</v>
      </c>
      <c r="Y195" t="s">
        <v>326</v>
      </c>
      <c r="Z195" t="s">
        <v>73</v>
      </c>
      <c r="AA195" t="str">
        <f>"14127-1749"</f>
        <v>14127-1749</v>
      </c>
      <c r="AB195" t="s">
        <v>74</v>
      </c>
      <c r="AC195" t="s">
        <v>75</v>
      </c>
      <c r="AD195" t="s">
        <v>72</v>
      </c>
      <c r="AE195" t="s">
        <v>76</v>
      </c>
      <c r="AF195" t="s">
        <v>3961</v>
      </c>
      <c r="AG195" t="s">
        <v>77</v>
      </c>
    </row>
    <row r="196" spans="1:33" x14ac:dyDescent="0.25">
      <c r="A196" t="str">
        <f>"1164466298"</f>
        <v>1164466298</v>
      </c>
      <c r="B196" t="str">
        <f>"01057423"</f>
        <v>01057423</v>
      </c>
      <c r="C196" t="s">
        <v>4710</v>
      </c>
      <c r="D196" t="s">
        <v>2142</v>
      </c>
      <c r="E196" t="s">
        <v>2143</v>
      </c>
      <c r="G196" t="s">
        <v>4710</v>
      </c>
      <c r="H196" t="s">
        <v>920</v>
      </c>
      <c r="J196" t="s">
        <v>4711</v>
      </c>
      <c r="L196" t="s">
        <v>79</v>
      </c>
      <c r="M196" t="s">
        <v>72</v>
      </c>
      <c r="R196" t="s">
        <v>2144</v>
      </c>
      <c r="W196" t="s">
        <v>2145</v>
      </c>
      <c r="X196" t="s">
        <v>2146</v>
      </c>
      <c r="Y196" t="s">
        <v>228</v>
      </c>
      <c r="Z196" t="s">
        <v>73</v>
      </c>
      <c r="AA196" t="str">
        <f>"14226-1056"</f>
        <v>14226-1056</v>
      </c>
      <c r="AB196" t="s">
        <v>74</v>
      </c>
      <c r="AC196" t="s">
        <v>75</v>
      </c>
      <c r="AD196" t="s">
        <v>72</v>
      </c>
      <c r="AE196" t="s">
        <v>76</v>
      </c>
      <c r="AF196" t="s">
        <v>3961</v>
      </c>
      <c r="AG196" t="s">
        <v>77</v>
      </c>
    </row>
    <row r="197" spans="1:33" x14ac:dyDescent="0.25">
      <c r="A197" t="str">
        <f>"1104821453"</f>
        <v>1104821453</v>
      </c>
      <c r="B197" t="str">
        <f>"00653136"</f>
        <v>00653136</v>
      </c>
      <c r="C197" t="s">
        <v>4712</v>
      </c>
      <c r="D197" t="s">
        <v>1947</v>
      </c>
      <c r="E197" t="s">
        <v>1948</v>
      </c>
      <c r="G197" t="s">
        <v>4677</v>
      </c>
      <c r="H197" t="s">
        <v>1949</v>
      </c>
      <c r="J197" t="s">
        <v>4678</v>
      </c>
      <c r="L197" t="s">
        <v>79</v>
      </c>
      <c r="M197" t="s">
        <v>72</v>
      </c>
      <c r="R197" t="s">
        <v>1950</v>
      </c>
      <c r="W197" t="s">
        <v>1951</v>
      </c>
      <c r="X197" t="s">
        <v>1952</v>
      </c>
      <c r="Y197" t="s">
        <v>436</v>
      </c>
      <c r="Z197" t="s">
        <v>73</v>
      </c>
      <c r="AA197" t="str">
        <f>"14217-1094"</f>
        <v>14217-1094</v>
      </c>
      <c r="AB197" t="s">
        <v>74</v>
      </c>
      <c r="AC197" t="s">
        <v>75</v>
      </c>
      <c r="AD197" t="s">
        <v>72</v>
      </c>
      <c r="AE197" t="s">
        <v>76</v>
      </c>
      <c r="AF197" t="s">
        <v>4043</v>
      </c>
      <c r="AG197" t="s">
        <v>77</v>
      </c>
    </row>
    <row r="198" spans="1:33" x14ac:dyDescent="0.25">
      <c r="A198" t="str">
        <f>"1649277930"</f>
        <v>1649277930</v>
      </c>
      <c r="B198" t="str">
        <f>"01762734"</f>
        <v>01762734</v>
      </c>
      <c r="C198" t="s">
        <v>4713</v>
      </c>
      <c r="D198" t="s">
        <v>582</v>
      </c>
      <c r="E198" t="s">
        <v>583</v>
      </c>
      <c r="G198" t="s">
        <v>4714</v>
      </c>
      <c r="H198" t="s">
        <v>4715</v>
      </c>
      <c r="J198" t="s">
        <v>4716</v>
      </c>
      <c r="L198" t="s">
        <v>80</v>
      </c>
      <c r="M198" t="s">
        <v>81</v>
      </c>
      <c r="R198" t="s">
        <v>584</v>
      </c>
      <c r="W198" t="s">
        <v>583</v>
      </c>
      <c r="X198" t="s">
        <v>585</v>
      </c>
      <c r="Y198" t="s">
        <v>209</v>
      </c>
      <c r="Z198" t="s">
        <v>73</v>
      </c>
      <c r="AA198" t="str">
        <f>"14301-1807"</f>
        <v>14301-1807</v>
      </c>
      <c r="AB198" t="s">
        <v>74</v>
      </c>
      <c r="AC198" t="s">
        <v>75</v>
      </c>
      <c r="AD198" t="s">
        <v>72</v>
      </c>
      <c r="AE198" t="s">
        <v>76</v>
      </c>
      <c r="AG198" t="s">
        <v>77</v>
      </c>
    </row>
    <row r="199" spans="1:33" x14ac:dyDescent="0.25">
      <c r="A199" t="str">
        <f>"1386650943"</f>
        <v>1386650943</v>
      </c>
      <c r="B199" t="str">
        <f>"01072191"</f>
        <v>01072191</v>
      </c>
      <c r="C199" t="s">
        <v>4717</v>
      </c>
      <c r="D199" t="s">
        <v>1317</v>
      </c>
      <c r="E199" t="s">
        <v>1318</v>
      </c>
      <c r="G199" t="s">
        <v>4017</v>
      </c>
      <c r="H199" t="s">
        <v>597</v>
      </c>
      <c r="J199" t="s">
        <v>4018</v>
      </c>
      <c r="L199" t="s">
        <v>79</v>
      </c>
      <c r="M199" t="s">
        <v>72</v>
      </c>
      <c r="R199" t="s">
        <v>1319</v>
      </c>
      <c r="W199" t="s">
        <v>1318</v>
      </c>
      <c r="X199" t="s">
        <v>1320</v>
      </c>
      <c r="Y199" t="s">
        <v>117</v>
      </c>
      <c r="Z199" t="s">
        <v>73</v>
      </c>
      <c r="AA199" t="str">
        <f>"14215-1145"</f>
        <v>14215-1145</v>
      </c>
      <c r="AB199" t="s">
        <v>74</v>
      </c>
      <c r="AC199" t="s">
        <v>75</v>
      </c>
      <c r="AD199" t="s">
        <v>72</v>
      </c>
      <c r="AE199" t="s">
        <v>76</v>
      </c>
      <c r="AF199" t="s">
        <v>3974</v>
      </c>
      <c r="AG199" t="s">
        <v>77</v>
      </c>
    </row>
    <row r="200" spans="1:33" x14ac:dyDescent="0.25">
      <c r="A200" t="str">
        <f>"1215989173"</f>
        <v>1215989173</v>
      </c>
      <c r="B200" t="str">
        <f>"01449485"</f>
        <v>01449485</v>
      </c>
      <c r="C200" t="s">
        <v>4718</v>
      </c>
      <c r="D200" t="s">
        <v>4719</v>
      </c>
      <c r="E200" t="s">
        <v>4720</v>
      </c>
      <c r="G200" t="s">
        <v>4721</v>
      </c>
      <c r="H200" t="s">
        <v>4722</v>
      </c>
      <c r="J200" t="s">
        <v>4723</v>
      </c>
      <c r="L200" t="s">
        <v>79</v>
      </c>
      <c r="M200" t="s">
        <v>72</v>
      </c>
      <c r="R200" t="s">
        <v>4724</v>
      </c>
      <c r="W200" t="s">
        <v>4720</v>
      </c>
      <c r="X200" t="s">
        <v>1362</v>
      </c>
      <c r="Y200" t="s">
        <v>240</v>
      </c>
      <c r="Z200" t="s">
        <v>73</v>
      </c>
      <c r="AA200" t="str">
        <f>"14094-5226"</f>
        <v>14094-5226</v>
      </c>
      <c r="AB200" t="s">
        <v>74</v>
      </c>
      <c r="AC200" t="s">
        <v>75</v>
      </c>
      <c r="AD200" t="s">
        <v>72</v>
      </c>
      <c r="AE200" t="s">
        <v>76</v>
      </c>
      <c r="AF200" t="s">
        <v>3974</v>
      </c>
      <c r="AG200" t="s">
        <v>77</v>
      </c>
    </row>
    <row r="201" spans="1:33" x14ac:dyDescent="0.25">
      <c r="A201" t="str">
        <f>"1336102458"</f>
        <v>1336102458</v>
      </c>
      <c r="B201" t="str">
        <f>"01086497"</f>
        <v>01086497</v>
      </c>
      <c r="C201" t="s">
        <v>4725</v>
      </c>
      <c r="D201" t="s">
        <v>1961</v>
      </c>
      <c r="E201" t="s">
        <v>1962</v>
      </c>
      <c r="G201" t="s">
        <v>4017</v>
      </c>
      <c r="H201" t="s">
        <v>597</v>
      </c>
      <c r="J201" t="s">
        <v>4018</v>
      </c>
      <c r="L201" t="s">
        <v>79</v>
      </c>
      <c r="M201" t="s">
        <v>72</v>
      </c>
      <c r="R201" t="s">
        <v>1963</v>
      </c>
      <c r="W201" t="s">
        <v>1962</v>
      </c>
      <c r="X201" t="s">
        <v>825</v>
      </c>
      <c r="Y201" t="s">
        <v>209</v>
      </c>
      <c r="Z201" t="s">
        <v>73</v>
      </c>
      <c r="AA201" t="str">
        <f>"14301-1841"</f>
        <v>14301-1841</v>
      </c>
      <c r="AB201" t="s">
        <v>74</v>
      </c>
      <c r="AC201" t="s">
        <v>75</v>
      </c>
      <c r="AD201" t="s">
        <v>72</v>
      </c>
      <c r="AE201" t="s">
        <v>76</v>
      </c>
      <c r="AF201" t="s">
        <v>3974</v>
      </c>
      <c r="AG201" t="s">
        <v>77</v>
      </c>
    </row>
    <row r="202" spans="1:33" x14ac:dyDescent="0.25">
      <c r="A202" t="str">
        <f>"1134160872"</f>
        <v>1134160872</v>
      </c>
      <c r="B202" t="str">
        <f>"01020002"</f>
        <v>01020002</v>
      </c>
      <c r="C202" t="s">
        <v>4726</v>
      </c>
      <c r="D202" t="s">
        <v>2817</v>
      </c>
      <c r="E202" t="s">
        <v>2818</v>
      </c>
      <c r="G202" t="s">
        <v>4727</v>
      </c>
      <c r="H202" t="s">
        <v>2908</v>
      </c>
      <c r="J202" t="s">
        <v>4728</v>
      </c>
      <c r="L202" t="s">
        <v>79</v>
      </c>
      <c r="M202" t="s">
        <v>72</v>
      </c>
      <c r="R202" t="s">
        <v>2819</v>
      </c>
      <c r="W202" t="s">
        <v>2818</v>
      </c>
      <c r="X202" t="s">
        <v>2820</v>
      </c>
      <c r="Y202" t="s">
        <v>436</v>
      </c>
      <c r="Z202" t="s">
        <v>73</v>
      </c>
      <c r="AA202" t="str">
        <f>"14217-2924"</f>
        <v>14217-2924</v>
      </c>
      <c r="AB202" t="s">
        <v>74</v>
      </c>
      <c r="AC202" t="s">
        <v>75</v>
      </c>
      <c r="AD202" t="s">
        <v>72</v>
      </c>
      <c r="AE202" t="s">
        <v>76</v>
      </c>
      <c r="AF202" t="s">
        <v>3961</v>
      </c>
      <c r="AG202" t="s">
        <v>77</v>
      </c>
    </row>
    <row r="203" spans="1:33" x14ac:dyDescent="0.25">
      <c r="A203" t="str">
        <f>"1750322947"</f>
        <v>1750322947</v>
      </c>
      <c r="B203" t="str">
        <f>"01524029"</f>
        <v>01524029</v>
      </c>
      <c r="C203" t="s">
        <v>4729</v>
      </c>
      <c r="D203" t="s">
        <v>4730</v>
      </c>
      <c r="E203" t="s">
        <v>4731</v>
      </c>
      <c r="G203" t="s">
        <v>4729</v>
      </c>
      <c r="H203" t="s">
        <v>4732</v>
      </c>
      <c r="J203" t="s">
        <v>4733</v>
      </c>
      <c r="L203" t="s">
        <v>79</v>
      </c>
      <c r="M203" t="s">
        <v>72</v>
      </c>
      <c r="R203" t="s">
        <v>4734</v>
      </c>
      <c r="W203" t="s">
        <v>4731</v>
      </c>
      <c r="X203" t="s">
        <v>4735</v>
      </c>
      <c r="Y203" t="s">
        <v>117</v>
      </c>
      <c r="Z203" t="s">
        <v>73</v>
      </c>
      <c r="AA203" t="str">
        <f>"14215-3021"</f>
        <v>14215-3021</v>
      </c>
      <c r="AB203" t="s">
        <v>74</v>
      </c>
      <c r="AC203" t="s">
        <v>75</v>
      </c>
      <c r="AD203" t="s">
        <v>72</v>
      </c>
      <c r="AE203" t="s">
        <v>76</v>
      </c>
      <c r="AF203" t="s">
        <v>4043</v>
      </c>
      <c r="AG203" t="s">
        <v>77</v>
      </c>
    </row>
    <row r="204" spans="1:33" x14ac:dyDescent="0.25">
      <c r="A204" t="str">
        <f>"1063459394"</f>
        <v>1063459394</v>
      </c>
      <c r="B204" t="str">
        <f>"02479505"</f>
        <v>02479505</v>
      </c>
      <c r="C204" t="s">
        <v>4736</v>
      </c>
      <c r="D204" t="s">
        <v>4737</v>
      </c>
      <c r="E204" t="s">
        <v>4738</v>
      </c>
      <c r="G204" t="s">
        <v>4739</v>
      </c>
      <c r="H204" t="s">
        <v>2761</v>
      </c>
      <c r="J204" t="s">
        <v>4740</v>
      </c>
      <c r="L204" t="s">
        <v>80</v>
      </c>
      <c r="M204" t="s">
        <v>72</v>
      </c>
      <c r="R204" t="s">
        <v>4741</v>
      </c>
      <c r="W204" t="s">
        <v>4738</v>
      </c>
      <c r="X204" t="s">
        <v>1087</v>
      </c>
      <c r="Y204" t="s">
        <v>326</v>
      </c>
      <c r="Z204" t="s">
        <v>73</v>
      </c>
      <c r="AA204" t="str">
        <f>"14127-1963"</f>
        <v>14127-1963</v>
      </c>
      <c r="AB204" t="s">
        <v>74</v>
      </c>
      <c r="AC204" t="s">
        <v>75</v>
      </c>
      <c r="AD204" t="s">
        <v>72</v>
      </c>
      <c r="AE204" t="s">
        <v>76</v>
      </c>
      <c r="AF204" t="s">
        <v>3961</v>
      </c>
      <c r="AG204" t="s">
        <v>77</v>
      </c>
    </row>
    <row r="205" spans="1:33" x14ac:dyDescent="0.25">
      <c r="A205" t="str">
        <f>"1518944990"</f>
        <v>1518944990</v>
      </c>
      <c r="B205" t="str">
        <f>"00682206"</f>
        <v>00682206</v>
      </c>
      <c r="C205" t="s">
        <v>4742</v>
      </c>
      <c r="D205" t="s">
        <v>2315</v>
      </c>
      <c r="E205" t="s">
        <v>2316</v>
      </c>
      <c r="G205" t="s">
        <v>4743</v>
      </c>
      <c r="H205" t="s">
        <v>4744</v>
      </c>
      <c r="J205" t="s">
        <v>4745</v>
      </c>
      <c r="L205" t="s">
        <v>79</v>
      </c>
      <c r="M205" t="s">
        <v>72</v>
      </c>
      <c r="R205" t="s">
        <v>2317</v>
      </c>
      <c r="W205" t="s">
        <v>2316</v>
      </c>
      <c r="X205" t="s">
        <v>173</v>
      </c>
      <c r="Y205" t="s">
        <v>117</v>
      </c>
      <c r="Z205" t="s">
        <v>73</v>
      </c>
      <c r="AA205" t="str">
        <f>"14222-2006"</f>
        <v>14222-2006</v>
      </c>
      <c r="AB205" t="s">
        <v>74</v>
      </c>
      <c r="AC205" t="s">
        <v>75</v>
      </c>
      <c r="AD205" t="s">
        <v>72</v>
      </c>
      <c r="AE205" t="s">
        <v>76</v>
      </c>
      <c r="AF205" t="s">
        <v>3961</v>
      </c>
      <c r="AG205" t="s">
        <v>77</v>
      </c>
    </row>
    <row r="206" spans="1:33" x14ac:dyDescent="0.25">
      <c r="A206" t="str">
        <f>"1619949963"</f>
        <v>1619949963</v>
      </c>
      <c r="B206" t="str">
        <f>"01244857"</f>
        <v>01244857</v>
      </c>
      <c r="C206" t="s">
        <v>4746</v>
      </c>
      <c r="D206" t="s">
        <v>1798</v>
      </c>
      <c r="E206" t="s">
        <v>1799</v>
      </c>
      <c r="G206" t="s">
        <v>4747</v>
      </c>
      <c r="H206" t="s">
        <v>793</v>
      </c>
      <c r="J206" t="s">
        <v>4748</v>
      </c>
      <c r="L206" t="s">
        <v>79</v>
      </c>
      <c r="M206" t="s">
        <v>72</v>
      </c>
      <c r="R206" t="s">
        <v>1800</v>
      </c>
      <c r="W206" t="s">
        <v>1799</v>
      </c>
      <c r="X206" t="s">
        <v>1801</v>
      </c>
      <c r="Y206" t="s">
        <v>117</v>
      </c>
      <c r="Z206" t="s">
        <v>73</v>
      </c>
      <c r="AA206" t="str">
        <f>"14214-8001"</f>
        <v>14214-8001</v>
      </c>
      <c r="AB206" t="s">
        <v>74</v>
      </c>
      <c r="AC206" t="s">
        <v>75</v>
      </c>
      <c r="AD206" t="s">
        <v>72</v>
      </c>
      <c r="AE206" t="s">
        <v>76</v>
      </c>
      <c r="AF206" t="s">
        <v>3974</v>
      </c>
      <c r="AG206" t="s">
        <v>77</v>
      </c>
    </row>
    <row r="207" spans="1:33" x14ac:dyDescent="0.25">
      <c r="A207" t="str">
        <f>"1902856420"</f>
        <v>1902856420</v>
      </c>
      <c r="B207" t="str">
        <f>"01851858"</f>
        <v>01851858</v>
      </c>
      <c r="C207" t="s">
        <v>4749</v>
      </c>
      <c r="D207" t="s">
        <v>4750</v>
      </c>
      <c r="E207" t="s">
        <v>4751</v>
      </c>
      <c r="G207" t="s">
        <v>4752</v>
      </c>
      <c r="H207" t="s">
        <v>4753</v>
      </c>
      <c r="J207" t="s">
        <v>4754</v>
      </c>
      <c r="L207" t="s">
        <v>79</v>
      </c>
      <c r="M207" t="s">
        <v>72</v>
      </c>
      <c r="R207" t="s">
        <v>4755</v>
      </c>
      <c r="W207" t="s">
        <v>4751</v>
      </c>
      <c r="X207" t="s">
        <v>669</v>
      </c>
      <c r="Y207" t="s">
        <v>117</v>
      </c>
      <c r="Z207" t="s">
        <v>73</v>
      </c>
      <c r="AA207" t="str">
        <f>"14209-1635"</f>
        <v>14209-1635</v>
      </c>
      <c r="AB207" t="s">
        <v>74</v>
      </c>
      <c r="AC207" t="s">
        <v>75</v>
      </c>
      <c r="AD207" t="s">
        <v>72</v>
      </c>
      <c r="AE207" t="s">
        <v>76</v>
      </c>
      <c r="AG207" t="s">
        <v>77</v>
      </c>
    </row>
    <row r="208" spans="1:33" x14ac:dyDescent="0.25">
      <c r="A208" t="str">
        <f>"1053377325"</f>
        <v>1053377325</v>
      </c>
      <c r="B208" t="str">
        <f>"01689298"</f>
        <v>01689298</v>
      </c>
      <c r="C208" t="s">
        <v>4756</v>
      </c>
      <c r="D208" t="s">
        <v>3167</v>
      </c>
      <c r="E208" t="s">
        <v>3168</v>
      </c>
      <c r="G208" t="s">
        <v>4757</v>
      </c>
      <c r="H208" t="s">
        <v>1355</v>
      </c>
      <c r="J208" t="s">
        <v>4758</v>
      </c>
      <c r="L208" t="s">
        <v>79</v>
      </c>
      <c r="M208" t="s">
        <v>72</v>
      </c>
      <c r="R208" t="s">
        <v>3169</v>
      </c>
      <c r="W208" t="s">
        <v>3168</v>
      </c>
      <c r="AB208" t="s">
        <v>74</v>
      </c>
      <c r="AC208" t="s">
        <v>75</v>
      </c>
      <c r="AD208" t="s">
        <v>72</v>
      </c>
      <c r="AE208" t="s">
        <v>76</v>
      </c>
      <c r="AG208" t="s">
        <v>77</v>
      </c>
    </row>
    <row r="209" spans="1:33" x14ac:dyDescent="0.25">
      <c r="A209" t="str">
        <f>"1285852566"</f>
        <v>1285852566</v>
      </c>
      <c r="B209" t="str">
        <f>"03393208"</f>
        <v>03393208</v>
      </c>
      <c r="C209" t="s">
        <v>4759</v>
      </c>
      <c r="D209" t="s">
        <v>4760</v>
      </c>
      <c r="E209" t="s">
        <v>4761</v>
      </c>
      <c r="G209" t="s">
        <v>4762</v>
      </c>
      <c r="H209" t="s">
        <v>4763</v>
      </c>
      <c r="J209" t="s">
        <v>4764</v>
      </c>
      <c r="L209" t="s">
        <v>79</v>
      </c>
      <c r="M209" t="s">
        <v>72</v>
      </c>
      <c r="R209" t="s">
        <v>4761</v>
      </c>
      <c r="W209" t="s">
        <v>4761</v>
      </c>
      <c r="X209" t="s">
        <v>301</v>
      </c>
      <c r="Y209" t="s">
        <v>117</v>
      </c>
      <c r="Z209" t="s">
        <v>73</v>
      </c>
      <c r="AA209" t="str">
        <f>"14214-2648"</f>
        <v>14214-2648</v>
      </c>
      <c r="AB209" t="s">
        <v>74</v>
      </c>
      <c r="AC209" t="s">
        <v>75</v>
      </c>
      <c r="AD209" t="s">
        <v>72</v>
      </c>
      <c r="AE209" t="s">
        <v>76</v>
      </c>
      <c r="AF209" t="s">
        <v>3974</v>
      </c>
      <c r="AG209" t="s">
        <v>77</v>
      </c>
    </row>
    <row r="210" spans="1:33" x14ac:dyDescent="0.25">
      <c r="A210" t="str">
        <f>"1770598104"</f>
        <v>1770598104</v>
      </c>
      <c r="B210" t="str">
        <f>"03001618"</f>
        <v>03001618</v>
      </c>
      <c r="C210" t="s">
        <v>4765</v>
      </c>
      <c r="D210" t="s">
        <v>4766</v>
      </c>
      <c r="E210" t="s">
        <v>4767</v>
      </c>
      <c r="G210" t="s">
        <v>4768</v>
      </c>
      <c r="H210" t="s">
        <v>4769</v>
      </c>
      <c r="J210" t="s">
        <v>4770</v>
      </c>
      <c r="L210" t="s">
        <v>124</v>
      </c>
      <c r="M210" t="s">
        <v>72</v>
      </c>
      <c r="R210" t="s">
        <v>4767</v>
      </c>
      <c r="W210" t="s">
        <v>4767</v>
      </c>
      <c r="X210" t="s">
        <v>1146</v>
      </c>
      <c r="Y210" t="s">
        <v>436</v>
      </c>
      <c r="Z210" t="s">
        <v>73</v>
      </c>
      <c r="AA210" t="str">
        <f>"14217-1304"</f>
        <v>14217-1304</v>
      </c>
      <c r="AB210" t="s">
        <v>83</v>
      </c>
      <c r="AC210" t="s">
        <v>75</v>
      </c>
      <c r="AD210" t="s">
        <v>72</v>
      </c>
      <c r="AE210" t="s">
        <v>76</v>
      </c>
      <c r="AF210" t="s">
        <v>3986</v>
      </c>
      <c r="AG210" t="s">
        <v>77</v>
      </c>
    </row>
    <row r="211" spans="1:33" x14ac:dyDescent="0.25">
      <c r="A211" t="str">
        <f>"1164436283"</f>
        <v>1164436283</v>
      </c>
      <c r="B211" t="str">
        <f>"00354343"</f>
        <v>00354343</v>
      </c>
      <c r="C211" t="s">
        <v>4765</v>
      </c>
      <c r="D211" t="s">
        <v>4766</v>
      </c>
      <c r="E211" t="s">
        <v>4767</v>
      </c>
      <c r="G211" t="s">
        <v>4768</v>
      </c>
      <c r="H211" t="s">
        <v>4769</v>
      </c>
      <c r="J211" t="s">
        <v>4770</v>
      </c>
      <c r="L211" t="s">
        <v>124</v>
      </c>
      <c r="M211" t="s">
        <v>72</v>
      </c>
      <c r="R211" t="s">
        <v>4767</v>
      </c>
      <c r="W211" t="s">
        <v>4767</v>
      </c>
      <c r="X211" t="s">
        <v>1146</v>
      </c>
      <c r="Y211" t="s">
        <v>436</v>
      </c>
      <c r="Z211" t="s">
        <v>73</v>
      </c>
      <c r="AA211" t="str">
        <f>"14217-1304"</f>
        <v>14217-1304</v>
      </c>
      <c r="AB211" t="s">
        <v>86</v>
      </c>
      <c r="AC211" t="s">
        <v>75</v>
      </c>
      <c r="AD211" t="s">
        <v>72</v>
      </c>
      <c r="AE211" t="s">
        <v>76</v>
      </c>
      <c r="AF211" t="s">
        <v>3986</v>
      </c>
      <c r="AG211" t="s">
        <v>77</v>
      </c>
    </row>
    <row r="212" spans="1:33" x14ac:dyDescent="0.25">
      <c r="A212" t="str">
        <f>"1427026327"</f>
        <v>1427026327</v>
      </c>
      <c r="B212" t="str">
        <f>"02685918"</f>
        <v>02685918</v>
      </c>
      <c r="C212" t="s">
        <v>4771</v>
      </c>
      <c r="D212" t="s">
        <v>799</v>
      </c>
      <c r="E212" t="s">
        <v>800</v>
      </c>
      <c r="G212" t="s">
        <v>4772</v>
      </c>
      <c r="H212" t="s">
        <v>801</v>
      </c>
      <c r="J212" t="s">
        <v>4773</v>
      </c>
      <c r="L212" t="s">
        <v>79</v>
      </c>
      <c r="M212" t="s">
        <v>72</v>
      </c>
      <c r="R212" t="s">
        <v>802</v>
      </c>
      <c r="W212" t="s">
        <v>800</v>
      </c>
      <c r="X212" t="s">
        <v>234</v>
      </c>
      <c r="Y212" t="s">
        <v>117</v>
      </c>
      <c r="Z212" t="s">
        <v>73</v>
      </c>
      <c r="AA212" t="str">
        <f>"14220-2039"</f>
        <v>14220-2039</v>
      </c>
      <c r="AB212" t="s">
        <v>74</v>
      </c>
      <c r="AC212" t="s">
        <v>75</v>
      </c>
      <c r="AD212" t="s">
        <v>72</v>
      </c>
      <c r="AE212" t="s">
        <v>76</v>
      </c>
      <c r="AF212" t="s">
        <v>3974</v>
      </c>
      <c r="AG212" t="s">
        <v>77</v>
      </c>
    </row>
    <row r="213" spans="1:33" x14ac:dyDescent="0.25">
      <c r="A213" t="str">
        <f>"1639338429"</f>
        <v>1639338429</v>
      </c>
      <c r="B213" t="str">
        <f>"03015932"</f>
        <v>03015932</v>
      </c>
      <c r="C213" t="s">
        <v>4774</v>
      </c>
      <c r="D213" t="s">
        <v>386</v>
      </c>
      <c r="E213" t="s">
        <v>387</v>
      </c>
      <c r="G213" t="s">
        <v>4775</v>
      </c>
      <c r="H213" t="s">
        <v>4776</v>
      </c>
      <c r="J213" t="s">
        <v>4777</v>
      </c>
      <c r="L213" t="s">
        <v>79</v>
      </c>
      <c r="M213" t="s">
        <v>72</v>
      </c>
      <c r="R213" t="s">
        <v>388</v>
      </c>
      <c r="W213" t="s">
        <v>389</v>
      </c>
      <c r="X213" t="s">
        <v>390</v>
      </c>
      <c r="Y213" t="s">
        <v>188</v>
      </c>
      <c r="Z213" t="s">
        <v>73</v>
      </c>
      <c r="AA213" t="str">
        <f>"14092-2419"</f>
        <v>14092-2419</v>
      </c>
      <c r="AB213" t="s">
        <v>74</v>
      </c>
      <c r="AC213" t="s">
        <v>75</v>
      </c>
      <c r="AD213" t="s">
        <v>72</v>
      </c>
      <c r="AE213" t="s">
        <v>76</v>
      </c>
      <c r="AF213" t="s">
        <v>3974</v>
      </c>
      <c r="AG213" t="s">
        <v>77</v>
      </c>
    </row>
    <row r="214" spans="1:33" x14ac:dyDescent="0.25">
      <c r="A214" t="str">
        <f>"1194745281"</f>
        <v>1194745281</v>
      </c>
      <c r="B214" t="str">
        <f>"01143833"</f>
        <v>01143833</v>
      </c>
      <c r="C214" t="s">
        <v>4778</v>
      </c>
      <c r="D214" t="s">
        <v>2028</v>
      </c>
      <c r="E214" t="s">
        <v>2029</v>
      </c>
      <c r="G214" t="s">
        <v>4779</v>
      </c>
      <c r="H214" t="s">
        <v>4780</v>
      </c>
      <c r="J214" t="s">
        <v>4781</v>
      </c>
      <c r="L214" t="s">
        <v>80</v>
      </c>
      <c r="M214" t="s">
        <v>72</v>
      </c>
      <c r="R214" t="s">
        <v>2030</v>
      </c>
      <c r="W214" t="s">
        <v>2031</v>
      </c>
      <c r="X214" t="s">
        <v>2032</v>
      </c>
      <c r="Y214" t="s">
        <v>326</v>
      </c>
      <c r="Z214" t="s">
        <v>73</v>
      </c>
      <c r="AA214" t="str">
        <f>"14127-1538"</f>
        <v>14127-1538</v>
      </c>
      <c r="AB214" t="s">
        <v>74</v>
      </c>
      <c r="AC214" t="s">
        <v>75</v>
      </c>
      <c r="AD214" t="s">
        <v>72</v>
      </c>
      <c r="AE214" t="s">
        <v>76</v>
      </c>
      <c r="AF214" t="s">
        <v>3961</v>
      </c>
      <c r="AG214" t="s">
        <v>77</v>
      </c>
    </row>
    <row r="215" spans="1:33" x14ac:dyDescent="0.25">
      <c r="A215" t="str">
        <f>"1265594733"</f>
        <v>1265594733</v>
      </c>
      <c r="B215" t="str">
        <f>"01078266"</f>
        <v>01078266</v>
      </c>
      <c r="C215" t="s">
        <v>4782</v>
      </c>
      <c r="D215" t="s">
        <v>3232</v>
      </c>
      <c r="E215" t="s">
        <v>3233</v>
      </c>
      <c r="G215" t="s">
        <v>4783</v>
      </c>
      <c r="H215" t="s">
        <v>789</v>
      </c>
      <c r="J215" t="s">
        <v>4784</v>
      </c>
      <c r="L215" t="s">
        <v>79</v>
      </c>
      <c r="M215" t="s">
        <v>72</v>
      </c>
      <c r="R215" t="s">
        <v>3234</v>
      </c>
      <c r="W215" t="s">
        <v>3233</v>
      </c>
      <c r="X215" t="s">
        <v>552</v>
      </c>
      <c r="Y215" t="s">
        <v>117</v>
      </c>
      <c r="Z215" t="s">
        <v>73</v>
      </c>
      <c r="AA215" t="str">
        <f>"14209-1194"</f>
        <v>14209-1194</v>
      </c>
      <c r="AB215" t="s">
        <v>74</v>
      </c>
      <c r="AC215" t="s">
        <v>75</v>
      </c>
      <c r="AD215" t="s">
        <v>72</v>
      </c>
      <c r="AE215" t="s">
        <v>76</v>
      </c>
      <c r="AF215" t="s">
        <v>3974</v>
      </c>
      <c r="AG215" t="s">
        <v>77</v>
      </c>
    </row>
    <row r="216" spans="1:33" x14ac:dyDescent="0.25">
      <c r="A216" t="str">
        <f>"1215934781"</f>
        <v>1215934781</v>
      </c>
      <c r="B216" t="str">
        <f>"01482255"</f>
        <v>01482255</v>
      </c>
      <c r="C216" t="s">
        <v>4785</v>
      </c>
      <c r="D216" t="s">
        <v>2685</v>
      </c>
      <c r="E216" t="s">
        <v>2686</v>
      </c>
      <c r="G216" t="s">
        <v>4786</v>
      </c>
      <c r="H216" t="s">
        <v>1728</v>
      </c>
      <c r="J216" t="s">
        <v>4787</v>
      </c>
      <c r="L216" t="s">
        <v>79</v>
      </c>
      <c r="M216" t="s">
        <v>72</v>
      </c>
      <c r="R216" t="s">
        <v>2687</v>
      </c>
      <c r="W216" t="s">
        <v>2688</v>
      </c>
      <c r="X216" t="s">
        <v>2059</v>
      </c>
      <c r="Y216" t="s">
        <v>117</v>
      </c>
      <c r="Z216" t="s">
        <v>73</v>
      </c>
      <c r="AA216" t="str">
        <f>"14209-1118"</f>
        <v>14209-1118</v>
      </c>
      <c r="AB216" t="s">
        <v>74</v>
      </c>
      <c r="AC216" t="s">
        <v>75</v>
      </c>
      <c r="AD216" t="s">
        <v>72</v>
      </c>
      <c r="AE216" t="s">
        <v>76</v>
      </c>
      <c r="AF216" t="s">
        <v>3974</v>
      </c>
      <c r="AG216" t="s">
        <v>77</v>
      </c>
    </row>
    <row r="217" spans="1:33" x14ac:dyDescent="0.25">
      <c r="A217" t="str">
        <f>"1265455109"</f>
        <v>1265455109</v>
      </c>
      <c r="B217" t="str">
        <f>"01192474"</f>
        <v>01192474</v>
      </c>
      <c r="C217" t="s">
        <v>4788</v>
      </c>
      <c r="D217" t="s">
        <v>4789</v>
      </c>
      <c r="E217" t="s">
        <v>4790</v>
      </c>
      <c r="G217" t="s">
        <v>4791</v>
      </c>
      <c r="H217" t="s">
        <v>4642</v>
      </c>
      <c r="J217" t="s">
        <v>4792</v>
      </c>
      <c r="L217" t="s">
        <v>80</v>
      </c>
      <c r="M217" t="s">
        <v>72</v>
      </c>
      <c r="R217" t="s">
        <v>4793</v>
      </c>
      <c r="W217" t="s">
        <v>4790</v>
      </c>
      <c r="X217" t="s">
        <v>286</v>
      </c>
      <c r="Y217" t="s">
        <v>242</v>
      </c>
      <c r="Z217" t="s">
        <v>73</v>
      </c>
      <c r="AA217" t="str">
        <f>"14701-7077"</f>
        <v>14701-7077</v>
      </c>
      <c r="AB217" t="s">
        <v>74</v>
      </c>
      <c r="AC217" t="s">
        <v>75</v>
      </c>
      <c r="AD217" t="s">
        <v>72</v>
      </c>
      <c r="AE217" t="s">
        <v>76</v>
      </c>
      <c r="AF217" t="s">
        <v>3974</v>
      </c>
      <c r="AG217" t="s">
        <v>77</v>
      </c>
    </row>
    <row r="218" spans="1:33" x14ac:dyDescent="0.25">
      <c r="A218" t="str">
        <f>"1770716003"</f>
        <v>1770716003</v>
      </c>
      <c r="B218" t="str">
        <f>"03171208"</f>
        <v>03171208</v>
      </c>
      <c r="C218" t="s">
        <v>4794</v>
      </c>
      <c r="D218" t="s">
        <v>4795</v>
      </c>
      <c r="E218" t="s">
        <v>4796</v>
      </c>
      <c r="G218" t="s">
        <v>4797</v>
      </c>
      <c r="H218" t="s">
        <v>4798</v>
      </c>
      <c r="I218">
        <v>104</v>
      </c>
      <c r="J218" t="s">
        <v>4799</v>
      </c>
      <c r="L218" t="s">
        <v>80</v>
      </c>
      <c r="M218" t="s">
        <v>81</v>
      </c>
      <c r="R218" t="s">
        <v>4800</v>
      </c>
      <c r="W218" t="s">
        <v>4796</v>
      </c>
      <c r="X218" t="s">
        <v>4801</v>
      </c>
      <c r="Y218" t="s">
        <v>242</v>
      </c>
      <c r="Z218" t="s">
        <v>73</v>
      </c>
      <c r="AA218" t="str">
        <f>"14701-7087"</f>
        <v>14701-7087</v>
      </c>
      <c r="AB218" t="s">
        <v>74</v>
      </c>
      <c r="AC218" t="s">
        <v>75</v>
      </c>
      <c r="AD218" t="s">
        <v>72</v>
      </c>
      <c r="AE218" t="s">
        <v>76</v>
      </c>
      <c r="AF218" t="s">
        <v>4049</v>
      </c>
      <c r="AG218" t="s">
        <v>77</v>
      </c>
    </row>
    <row r="219" spans="1:33" x14ac:dyDescent="0.25">
      <c r="A219" t="str">
        <f>"1750379269"</f>
        <v>1750379269</v>
      </c>
      <c r="B219" t="str">
        <f>"00612684"</f>
        <v>00612684</v>
      </c>
      <c r="C219" t="s">
        <v>4802</v>
      </c>
      <c r="D219" t="s">
        <v>1572</v>
      </c>
      <c r="E219" t="s">
        <v>1573</v>
      </c>
      <c r="G219" t="s">
        <v>4802</v>
      </c>
      <c r="H219" t="s">
        <v>568</v>
      </c>
      <c r="J219" t="s">
        <v>4803</v>
      </c>
      <c r="L219" t="s">
        <v>79</v>
      </c>
      <c r="M219" t="s">
        <v>72</v>
      </c>
      <c r="R219" t="s">
        <v>1574</v>
      </c>
      <c r="W219" t="s">
        <v>1573</v>
      </c>
      <c r="X219" t="s">
        <v>1575</v>
      </c>
      <c r="Y219" t="s">
        <v>117</v>
      </c>
      <c r="Z219" t="s">
        <v>73</v>
      </c>
      <c r="AA219" t="str">
        <f>"14214"</f>
        <v>14214</v>
      </c>
      <c r="AB219" t="s">
        <v>74</v>
      </c>
      <c r="AC219" t="s">
        <v>75</v>
      </c>
      <c r="AD219" t="s">
        <v>72</v>
      </c>
      <c r="AE219" t="s">
        <v>76</v>
      </c>
      <c r="AG219" t="s">
        <v>77</v>
      </c>
    </row>
    <row r="220" spans="1:33" x14ac:dyDescent="0.25">
      <c r="A220" t="str">
        <f>"1174520696"</f>
        <v>1174520696</v>
      </c>
      <c r="B220" t="str">
        <f>"01018015"</f>
        <v>01018015</v>
      </c>
      <c r="C220" t="s">
        <v>4804</v>
      </c>
      <c r="D220" t="s">
        <v>3177</v>
      </c>
      <c r="E220" t="s">
        <v>3178</v>
      </c>
      <c r="G220" t="s">
        <v>4786</v>
      </c>
      <c r="H220" t="s">
        <v>1728</v>
      </c>
      <c r="J220" t="s">
        <v>4787</v>
      </c>
      <c r="L220" t="s">
        <v>79</v>
      </c>
      <c r="M220" t="s">
        <v>72</v>
      </c>
      <c r="R220" t="s">
        <v>3179</v>
      </c>
      <c r="W220" t="s">
        <v>3180</v>
      </c>
      <c r="X220" t="s">
        <v>219</v>
      </c>
      <c r="Y220" t="s">
        <v>117</v>
      </c>
      <c r="Z220" t="s">
        <v>73</v>
      </c>
      <c r="AA220" t="str">
        <f>"14203-1149"</f>
        <v>14203-1149</v>
      </c>
      <c r="AB220" t="s">
        <v>74</v>
      </c>
      <c r="AC220" t="s">
        <v>75</v>
      </c>
      <c r="AD220" t="s">
        <v>72</v>
      </c>
      <c r="AE220" t="s">
        <v>76</v>
      </c>
      <c r="AF220" t="s">
        <v>3974</v>
      </c>
      <c r="AG220" t="s">
        <v>77</v>
      </c>
    </row>
    <row r="221" spans="1:33" x14ac:dyDescent="0.25">
      <c r="A221" t="str">
        <f>"1831156447"</f>
        <v>1831156447</v>
      </c>
      <c r="B221" t="str">
        <f>"01657083"</f>
        <v>01657083</v>
      </c>
      <c r="C221" t="s">
        <v>4805</v>
      </c>
      <c r="D221" t="s">
        <v>952</v>
      </c>
      <c r="E221" t="s">
        <v>953</v>
      </c>
      <c r="G221" t="s">
        <v>4806</v>
      </c>
      <c r="H221" t="s">
        <v>954</v>
      </c>
      <c r="J221" t="s">
        <v>4807</v>
      </c>
      <c r="L221" t="s">
        <v>80</v>
      </c>
      <c r="M221" t="s">
        <v>72</v>
      </c>
      <c r="R221" t="s">
        <v>955</v>
      </c>
      <c r="W221" t="s">
        <v>956</v>
      </c>
      <c r="X221" t="s">
        <v>435</v>
      </c>
      <c r="Y221" t="s">
        <v>436</v>
      </c>
      <c r="Z221" t="s">
        <v>73</v>
      </c>
      <c r="AA221" t="str">
        <f>"14217"</f>
        <v>14217</v>
      </c>
      <c r="AB221" t="s">
        <v>74</v>
      </c>
      <c r="AC221" t="s">
        <v>75</v>
      </c>
      <c r="AD221" t="s">
        <v>72</v>
      </c>
      <c r="AE221" t="s">
        <v>76</v>
      </c>
      <c r="AG221" t="s">
        <v>77</v>
      </c>
    </row>
    <row r="222" spans="1:33" x14ac:dyDescent="0.25">
      <c r="A222" t="str">
        <f>"1528032695"</f>
        <v>1528032695</v>
      </c>
      <c r="B222" t="str">
        <f>"01816673"</f>
        <v>01816673</v>
      </c>
      <c r="C222" t="s">
        <v>4808</v>
      </c>
      <c r="D222" t="s">
        <v>4809</v>
      </c>
      <c r="E222" t="s">
        <v>4810</v>
      </c>
      <c r="G222" t="s">
        <v>4811</v>
      </c>
      <c r="H222" t="s">
        <v>4812</v>
      </c>
      <c r="J222" t="s">
        <v>4813</v>
      </c>
      <c r="L222" t="s">
        <v>80</v>
      </c>
      <c r="M222" t="s">
        <v>72</v>
      </c>
      <c r="R222" t="s">
        <v>4814</v>
      </c>
      <c r="W222" t="s">
        <v>4815</v>
      </c>
      <c r="X222" t="s">
        <v>278</v>
      </c>
      <c r="Y222" t="s">
        <v>1093</v>
      </c>
      <c r="Z222" t="s">
        <v>73</v>
      </c>
      <c r="AA222" t="str">
        <f>"14052-2540"</f>
        <v>14052-2540</v>
      </c>
      <c r="AB222" t="s">
        <v>74</v>
      </c>
      <c r="AC222" t="s">
        <v>75</v>
      </c>
      <c r="AD222" t="s">
        <v>72</v>
      </c>
      <c r="AE222" t="s">
        <v>76</v>
      </c>
      <c r="AF222" t="s">
        <v>3961</v>
      </c>
      <c r="AG222" t="s">
        <v>77</v>
      </c>
    </row>
    <row r="223" spans="1:33" x14ac:dyDescent="0.25">
      <c r="A223" t="str">
        <f>"1083677231"</f>
        <v>1083677231</v>
      </c>
      <c r="B223" t="str">
        <f>"00699409"</f>
        <v>00699409</v>
      </c>
      <c r="C223" t="s">
        <v>4816</v>
      </c>
      <c r="D223" t="s">
        <v>4817</v>
      </c>
      <c r="E223" t="s">
        <v>4818</v>
      </c>
      <c r="G223" t="s">
        <v>4819</v>
      </c>
      <c r="H223" t="s">
        <v>4820</v>
      </c>
      <c r="J223" t="s">
        <v>4821</v>
      </c>
      <c r="L223" t="s">
        <v>80</v>
      </c>
      <c r="M223" t="s">
        <v>72</v>
      </c>
      <c r="R223" t="s">
        <v>4822</v>
      </c>
      <c r="W223" t="s">
        <v>4818</v>
      </c>
      <c r="X223" t="s">
        <v>4823</v>
      </c>
      <c r="Y223" t="s">
        <v>2667</v>
      </c>
      <c r="Z223" t="s">
        <v>73</v>
      </c>
      <c r="AA223" t="str">
        <f>"14057-1343"</f>
        <v>14057-1343</v>
      </c>
      <c r="AB223" t="s">
        <v>74</v>
      </c>
      <c r="AC223" t="s">
        <v>75</v>
      </c>
      <c r="AD223" t="s">
        <v>72</v>
      </c>
      <c r="AE223" t="s">
        <v>76</v>
      </c>
      <c r="AF223" t="s">
        <v>4431</v>
      </c>
      <c r="AG223" t="s">
        <v>77</v>
      </c>
    </row>
    <row r="224" spans="1:33" x14ac:dyDescent="0.25">
      <c r="A224" t="str">
        <f>"1356436489"</f>
        <v>1356436489</v>
      </c>
      <c r="B224" t="str">
        <f>"02638640"</f>
        <v>02638640</v>
      </c>
      <c r="C224" t="s">
        <v>4824</v>
      </c>
      <c r="D224" t="s">
        <v>3399</v>
      </c>
      <c r="E224" t="s">
        <v>3400</v>
      </c>
      <c r="G224" t="s">
        <v>4825</v>
      </c>
      <c r="H224" t="s">
        <v>4826</v>
      </c>
      <c r="J224" t="s">
        <v>4827</v>
      </c>
      <c r="L224" t="s">
        <v>79</v>
      </c>
      <c r="M224" t="s">
        <v>72</v>
      </c>
      <c r="R224" t="s">
        <v>3401</v>
      </c>
      <c r="W224" t="s">
        <v>3400</v>
      </c>
      <c r="X224" t="s">
        <v>3402</v>
      </c>
      <c r="Y224" t="s">
        <v>326</v>
      </c>
      <c r="Z224" t="s">
        <v>73</v>
      </c>
      <c r="AA224" t="str">
        <f>"14127-1562"</f>
        <v>14127-1562</v>
      </c>
      <c r="AB224" t="s">
        <v>74</v>
      </c>
      <c r="AC224" t="s">
        <v>75</v>
      </c>
      <c r="AD224" t="s">
        <v>72</v>
      </c>
      <c r="AE224" t="s">
        <v>76</v>
      </c>
      <c r="AF224" t="s">
        <v>3974</v>
      </c>
      <c r="AG224" t="s">
        <v>77</v>
      </c>
    </row>
    <row r="225" spans="1:33" x14ac:dyDescent="0.25">
      <c r="A225" t="str">
        <f>"1154486454"</f>
        <v>1154486454</v>
      </c>
      <c r="B225" t="str">
        <f>"03254280"</f>
        <v>03254280</v>
      </c>
      <c r="C225" t="s">
        <v>4828</v>
      </c>
      <c r="D225" t="s">
        <v>4829</v>
      </c>
      <c r="E225" t="s">
        <v>4830</v>
      </c>
      <c r="G225" t="s">
        <v>4828</v>
      </c>
      <c r="H225" t="s">
        <v>4831</v>
      </c>
      <c r="J225" t="s">
        <v>4832</v>
      </c>
      <c r="L225" t="s">
        <v>71</v>
      </c>
      <c r="M225" t="s">
        <v>72</v>
      </c>
      <c r="R225" t="s">
        <v>4833</v>
      </c>
      <c r="W225" t="s">
        <v>4830</v>
      </c>
      <c r="X225" t="s">
        <v>4834</v>
      </c>
      <c r="Y225" t="s">
        <v>117</v>
      </c>
      <c r="Z225" t="s">
        <v>73</v>
      </c>
      <c r="AA225" t="str">
        <f>"14203-1560"</f>
        <v>14203-1560</v>
      </c>
      <c r="AB225" t="s">
        <v>74</v>
      </c>
      <c r="AC225" t="s">
        <v>75</v>
      </c>
      <c r="AD225" t="s">
        <v>72</v>
      </c>
      <c r="AE225" t="s">
        <v>76</v>
      </c>
      <c r="AF225" t="s">
        <v>3974</v>
      </c>
      <c r="AG225" t="s">
        <v>77</v>
      </c>
    </row>
    <row r="226" spans="1:33" x14ac:dyDescent="0.25">
      <c r="A226" t="str">
        <f>"1336253210"</f>
        <v>1336253210</v>
      </c>
      <c r="B226" t="str">
        <f>"01774038"</f>
        <v>01774038</v>
      </c>
      <c r="C226" t="s">
        <v>4835</v>
      </c>
      <c r="D226" t="s">
        <v>1269</v>
      </c>
      <c r="E226" t="s">
        <v>1270</v>
      </c>
      <c r="G226" t="s">
        <v>4835</v>
      </c>
      <c r="H226" t="s">
        <v>4836</v>
      </c>
      <c r="J226" t="s">
        <v>4837</v>
      </c>
      <c r="L226" t="s">
        <v>84</v>
      </c>
      <c r="M226" t="s">
        <v>72</v>
      </c>
      <c r="R226" t="s">
        <v>1271</v>
      </c>
      <c r="W226" t="s">
        <v>1272</v>
      </c>
      <c r="X226" t="s">
        <v>295</v>
      </c>
      <c r="Y226" t="s">
        <v>117</v>
      </c>
      <c r="Z226" t="s">
        <v>73</v>
      </c>
      <c r="AA226" t="str">
        <f>"14215-3021"</f>
        <v>14215-3021</v>
      </c>
      <c r="AB226" t="s">
        <v>74</v>
      </c>
      <c r="AC226" t="s">
        <v>75</v>
      </c>
      <c r="AD226" t="s">
        <v>72</v>
      </c>
      <c r="AE226" t="s">
        <v>76</v>
      </c>
      <c r="AF226" t="s">
        <v>3974</v>
      </c>
      <c r="AG226" t="s">
        <v>77</v>
      </c>
    </row>
    <row r="227" spans="1:33" x14ac:dyDescent="0.25">
      <c r="A227" t="str">
        <f>"1205813680"</f>
        <v>1205813680</v>
      </c>
      <c r="B227" t="str">
        <f>"01991226"</f>
        <v>01991226</v>
      </c>
      <c r="C227" t="s">
        <v>4838</v>
      </c>
      <c r="D227" t="s">
        <v>4839</v>
      </c>
      <c r="E227" t="s">
        <v>4840</v>
      </c>
      <c r="G227" t="s">
        <v>4841</v>
      </c>
      <c r="H227" t="s">
        <v>1534</v>
      </c>
      <c r="J227" t="s">
        <v>4842</v>
      </c>
      <c r="L227" t="s">
        <v>80</v>
      </c>
      <c r="M227" t="s">
        <v>72</v>
      </c>
      <c r="R227" t="s">
        <v>4840</v>
      </c>
      <c r="W227" t="s">
        <v>4840</v>
      </c>
      <c r="X227" t="s">
        <v>173</v>
      </c>
      <c r="Y227" t="s">
        <v>117</v>
      </c>
      <c r="Z227" t="s">
        <v>73</v>
      </c>
      <c r="AA227" t="str">
        <f>"14222-2006"</f>
        <v>14222-2006</v>
      </c>
      <c r="AB227" t="s">
        <v>74</v>
      </c>
      <c r="AC227" t="s">
        <v>75</v>
      </c>
      <c r="AD227" t="s">
        <v>72</v>
      </c>
      <c r="AE227" t="s">
        <v>76</v>
      </c>
      <c r="AF227" t="s">
        <v>3961</v>
      </c>
      <c r="AG227" t="s">
        <v>77</v>
      </c>
    </row>
    <row r="228" spans="1:33" x14ac:dyDescent="0.25">
      <c r="A228" t="str">
        <f>"1508273582"</f>
        <v>1508273582</v>
      </c>
      <c r="B228" t="str">
        <f>"03923140"</f>
        <v>03923140</v>
      </c>
      <c r="C228" t="s">
        <v>4843</v>
      </c>
      <c r="D228" t="s">
        <v>3319</v>
      </c>
      <c r="E228" t="s">
        <v>3320</v>
      </c>
      <c r="G228" t="s">
        <v>4047</v>
      </c>
      <c r="H228" t="s">
        <v>634</v>
      </c>
      <c r="J228" t="s">
        <v>4048</v>
      </c>
      <c r="L228" t="s">
        <v>80</v>
      </c>
      <c r="M228" t="s">
        <v>72</v>
      </c>
      <c r="R228" t="s">
        <v>3320</v>
      </c>
      <c r="W228" t="s">
        <v>3321</v>
      </c>
      <c r="X228" t="s">
        <v>3282</v>
      </c>
      <c r="Y228" t="s">
        <v>354</v>
      </c>
      <c r="Z228" t="s">
        <v>73</v>
      </c>
      <c r="AA228" t="str">
        <f>"14787-1121"</f>
        <v>14787-1121</v>
      </c>
      <c r="AB228" t="s">
        <v>74</v>
      </c>
      <c r="AC228" t="s">
        <v>75</v>
      </c>
      <c r="AD228" t="s">
        <v>72</v>
      </c>
      <c r="AE228" t="s">
        <v>76</v>
      </c>
      <c r="AF228" t="s">
        <v>4049</v>
      </c>
      <c r="AG228" t="s">
        <v>77</v>
      </c>
    </row>
    <row r="229" spans="1:33" x14ac:dyDescent="0.25">
      <c r="A229" t="str">
        <f>"1205840162"</f>
        <v>1205840162</v>
      </c>
      <c r="B229" t="str">
        <f>"01543360"</f>
        <v>01543360</v>
      </c>
      <c r="C229" t="s">
        <v>4844</v>
      </c>
      <c r="D229" t="s">
        <v>2563</v>
      </c>
      <c r="E229" t="s">
        <v>2564</v>
      </c>
      <c r="G229" t="s">
        <v>3991</v>
      </c>
      <c r="H229" t="s">
        <v>1104</v>
      </c>
      <c r="J229" t="s">
        <v>3992</v>
      </c>
      <c r="L229" t="s">
        <v>71</v>
      </c>
      <c r="M229" t="s">
        <v>72</v>
      </c>
      <c r="R229" t="s">
        <v>2565</v>
      </c>
      <c r="W229" t="s">
        <v>2564</v>
      </c>
      <c r="X229" t="s">
        <v>2566</v>
      </c>
      <c r="Y229" t="s">
        <v>221</v>
      </c>
      <c r="Z229" t="s">
        <v>73</v>
      </c>
      <c r="AA229" t="str">
        <f>"14221-5329"</f>
        <v>14221-5329</v>
      </c>
      <c r="AB229" t="s">
        <v>74</v>
      </c>
      <c r="AC229" t="s">
        <v>75</v>
      </c>
      <c r="AD229" t="s">
        <v>72</v>
      </c>
      <c r="AE229" t="s">
        <v>76</v>
      </c>
      <c r="AF229" t="s">
        <v>3974</v>
      </c>
      <c r="AG229" t="s">
        <v>77</v>
      </c>
    </row>
    <row r="230" spans="1:33" x14ac:dyDescent="0.25">
      <c r="A230" t="str">
        <f>"1508896457"</f>
        <v>1508896457</v>
      </c>
      <c r="B230" t="str">
        <f>"01371553"</f>
        <v>01371553</v>
      </c>
      <c r="C230" t="s">
        <v>4845</v>
      </c>
      <c r="D230" t="s">
        <v>2511</v>
      </c>
      <c r="E230" t="s">
        <v>2512</v>
      </c>
      <c r="G230" t="s">
        <v>4846</v>
      </c>
      <c r="H230" t="s">
        <v>2513</v>
      </c>
      <c r="J230" t="s">
        <v>4847</v>
      </c>
      <c r="L230" t="s">
        <v>80</v>
      </c>
      <c r="M230" t="s">
        <v>72</v>
      </c>
      <c r="R230" t="s">
        <v>2514</v>
      </c>
      <c r="W230" t="s">
        <v>2512</v>
      </c>
      <c r="X230" t="s">
        <v>2515</v>
      </c>
      <c r="Y230" t="s">
        <v>209</v>
      </c>
      <c r="Z230" t="s">
        <v>73</v>
      </c>
      <c r="AA230" t="str">
        <f>"14304-3080"</f>
        <v>14304-3080</v>
      </c>
      <c r="AB230" t="s">
        <v>74</v>
      </c>
      <c r="AC230" t="s">
        <v>75</v>
      </c>
      <c r="AD230" t="s">
        <v>72</v>
      </c>
      <c r="AE230" t="s">
        <v>76</v>
      </c>
      <c r="AG230" t="s">
        <v>77</v>
      </c>
    </row>
    <row r="231" spans="1:33" x14ac:dyDescent="0.25">
      <c r="A231" t="str">
        <f>"1063652972"</f>
        <v>1063652972</v>
      </c>
      <c r="B231" t="str">
        <f>"03351159"</f>
        <v>03351159</v>
      </c>
      <c r="C231" t="s">
        <v>4848</v>
      </c>
      <c r="D231" t="s">
        <v>3197</v>
      </c>
      <c r="E231" t="s">
        <v>3198</v>
      </c>
      <c r="G231" t="s">
        <v>4727</v>
      </c>
      <c r="H231" t="s">
        <v>2908</v>
      </c>
      <c r="J231" t="s">
        <v>4728</v>
      </c>
      <c r="L231" t="s">
        <v>79</v>
      </c>
      <c r="M231" t="s">
        <v>72</v>
      </c>
      <c r="R231" t="s">
        <v>3199</v>
      </c>
      <c r="W231" t="s">
        <v>3198</v>
      </c>
      <c r="X231" t="s">
        <v>2987</v>
      </c>
      <c r="Y231" t="s">
        <v>436</v>
      </c>
      <c r="Z231" t="s">
        <v>73</v>
      </c>
      <c r="AA231" t="str">
        <f>"14217-1039"</f>
        <v>14217-1039</v>
      </c>
      <c r="AB231" t="s">
        <v>74</v>
      </c>
      <c r="AC231" t="s">
        <v>75</v>
      </c>
      <c r="AD231" t="s">
        <v>72</v>
      </c>
      <c r="AE231" t="s">
        <v>76</v>
      </c>
      <c r="AF231" t="s">
        <v>3961</v>
      </c>
      <c r="AG231" t="s">
        <v>77</v>
      </c>
    </row>
    <row r="232" spans="1:33" x14ac:dyDescent="0.25">
      <c r="A232" t="str">
        <f>"1508800491"</f>
        <v>1508800491</v>
      </c>
      <c r="B232" t="str">
        <f>"02273036"</f>
        <v>02273036</v>
      </c>
      <c r="C232" t="s">
        <v>4849</v>
      </c>
      <c r="D232" t="s">
        <v>4850</v>
      </c>
      <c r="E232" t="s">
        <v>4851</v>
      </c>
      <c r="G232" t="s">
        <v>4852</v>
      </c>
      <c r="H232" t="s">
        <v>4853</v>
      </c>
      <c r="J232" t="s">
        <v>4854</v>
      </c>
      <c r="L232" t="s">
        <v>80</v>
      </c>
      <c r="M232" t="s">
        <v>72</v>
      </c>
      <c r="R232" t="s">
        <v>276</v>
      </c>
      <c r="W232" t="s">
        <v>4851</v>
      </c>
      <c r="X232" t="s">
        <v>1895</v>
      </c>
      <c r="Y232" t="s">
        <v>1079</v>
      </c>
      <c r="Z232" t="s">
        <v>73</v>
      </c>
      <c r="AA232" t="str">
        <f>"14075-2600"</f>
        <v>14075-2600</v>
      </c>
      <c r="AB232" t="s">
        <v>74</v>
      </c>
      <c r="AC232" t="s">
        <v>75</v>
      </c>
      <c r="AD232" t="s">
        <v>72</v>
      </c>
      <c r="AE232" t="s">
        <v>76</v>
      </c>
      <c r="AF232" t="s">
        <v>3961</v>
      </c>
      <c r="AG232" t="s">
        <v>77</v>
      </c>
    </row>
    <row r="233" spans="1:33" x14ac:dyDescent="0.25">
      <c r="A233" t="str">
        <f>"1063532125"</f>
        <v>1063532125</v>
      </c>
      <c r="B233" t="str">
        <f>"02422071"</f>
        <v>02422071</v>
      </c>
      <c r="C233" t="s">
        <v>4855</v>
      </c>
      <c r="D233" t="s">
        <v>3189</v>
      </c>
      <c r="E233" t="s">
        <v>3190</v>
      </c>
      <c r="G233" t="s">
        <v>4856</v>
      </c>
      <c r="H233" t="s">
        <v>1762</v>
      </c>
      <c r="J233" t="s">
        <v>4857</v>
      </c>
      <c r="L233" t="s">
        <v>71</v>
      </c>
      <c r="M233" t="s">
        <v>72</v>
      </c>
      <c r="R233" t="s">
        <v>3191</v>
      </c>
      <c r="W233" t="s">
        <v>3190</v>
      </c>
      <c r="X233" t="s">
        <v>3192</v>
      </c>
      <c r="Y233" t="s">
        <v>228</v>
      </c>
      <c r="Z233" t="s">
        <v>73</v>
      </c>
      <c r="AA233" t="str">
        <f>"14226-1039"</f>
        <v>14226-1039</v>
      </c>
      <c r="AB233" t="s">
        <v>74</v>
      </c>
      <c r="AC233" t="s">
        <v>75</v>
      </c>
      <c r="AD233" t="s">
        <v>72</v>
      </c>
      <c r="AE233" t="s">
        <v>76</v>
      </c>
      <c r="AF233" t="s">
        <v>3974</v>
      </c>
      <c r="AG233" t="s">
        <v>77</v>
      </c>
    </row>
    <row r="234" spans="1:33" x14ac:dyDescent="0.25">
      <c r="A234" t="str">
        <f>"1497706303"</f>
        <v>1497706303</v>
      </c>
      <c r="B234" t="str">
        <f>"02747437"</f>
        <v>02747437</v>
      </c>
      <c r="C234" t="s">
        <v>4858</v>
      </c>
      <c r="D234" t="s">
        <v>4859</v>
      </c>
      <c r="E234" t="s">
        <v>4860</v>
      </c>
      <c r="G234" t="s">
        <v>4858</v>
      </c>
      <c r="H234" t="s">
        <v>4861</v>
      </c>
      <c r="L234" t="s">
        <v>79</v>
      </c>
      <c r="M234" t="s">
        <v>72</v>
      </c>
      <c r="R234" t="s">
        <v>4860</v>
      </c>
      <c r="W234" t="s">
        <v>4860</v>
      </c>
      <c r="X234" t="s">
        <v>234</v>
      </c>
      <c r="Y234" t="s">
        <v>117</v>
      </c>
      <c r="Z234" t="s">
        <v>73</v>
      </c>
      <c r="AA234" t="str">
        <f>"14220-2039"</f>
        <v>14220-2039</v>
      </c>
      <c r="AB234" t="s">
        <v>105</v>
      </c>
      <c r="AC234" t="s">
        <v>75</v>
      </c>
      <c r="AD234" t="s">
        <v>72</v>
      </c>
      <c r="AE234" t="s">
        <v>76</v>
      </c>
      <c r="AF234" t="s">
        <v>4043</v>
      </c>
      <c r="AG234" t="s">
        <v>77</v>
      </c>
    </row>
    <row r="235" spans="1:33" x14ac:dyDescent="0.25">
      <c r="A235" t="str">
        <f>"1043416407"</f>
        <v>1043416407</v>
      </c>
      <c r="B235" t="str">
        <f>"03716552"</f>
        <v>03716552</v>
      </c>
      <c r="C235" t="s">
        <v>4862</v>
      </c>
      <c r="D235" t="s">
        <v>3413</v>
      </c>
      <c r="E235" t="s">
        <v>3414</v>
      </c>
      <c r="G235" t="s">
        <v>4825</v>
      </c>
      <c r="H235" t="s">
        <v>4826</v>
      </c>
      <c r="J235" t="s">
        <v>4827</v>
      </c>
      <c r="L235" t="s">
        <v>79</v>
      </c>
      <c r="M235" t="s">
        <v>72</v>
      </c>
      <c r="R235" t="s">
        <v>3414</v>
      </c>
      <c r="W235" t="s">
        <v>3414</v>
      </c>
      <c r="X235" t="s">
        <v>3415</v>
      </c>
      <c r="Y235" t="s">
        <v>326</v>
      </c>
      <c r="Z235" t="s">
        <v>73</v>
      </c>
      <c r="AA235" t="str">
        <f>"14127-1562"</f>
        <v>14127-1562</v>
      </c>
      <c r="AB235" t="s">
        <v>74</v>
      </c>
      <c r="AC235" t="s">
        <v>75</v>
      </c>
      <c r="AD235" t="s">
        <v>72</v>
      </c>
      <c r="AE235" t="s">
        <v>76</v>
      </c>
      <c r="AF235" t="s">
        <v>3974</v>
      </c>
      <c r="AG235" t="s">
        <v>77</v>
      </c>
    </row>
    <row r="236" spans="1:33" x14ac:dyDescent="0.25">
      <c r="A236" t="str">
        <f>"1881692804"</f>
        <v>1881692804</v>
      </c>
      <c r="B236" t="str">
        <f>"01388141"</f>
        <v>01388141</v>
      </c>
      <c r="C236" t="s">
        <v>4863</v>
      </c>
      <c r="D236" t="s">
        <v>4864</v>
      </c>
      <c r="E236" t="s">
        <v>4865</v>
      </c>
      <c r="G236" t="s">
        <v>4863</v>
      </c>
      <c r="H236" t="s">
        <v>4866</v>
      </c>
      <c r="J236" t="s">
        <v>4867</v>
      </c>
      <c r="L236" t="s">
        <v>79</v>
      </c>
      <c r="M236" t="s">
        <v>72</v>
      </c>
      <c r="R236" t="s">
        <v>4868</v>
      </c>
      <c r="W236" t="s">
        <v>4865</v>
      </c>
      <c r="X236" t="s">
        <v>4869</v>
      </c>
      <c r="Y236" t="s">
        <v>242</v>
      </c>
      <c r="Z236" t="s">
        <v>73</v>
      </c>
      <c r="AA236" t="str">
        <f>"14701-6413"</f>
        <v>14701-6413</v>
      </c>
      <c r="AB236" t="s">
        <v>74</v>
      </c>
      <c r="AC236" t="s">
        <v>75</v>
      </c>
      <c r="AD236" t="s">
        <v>72</v>
      </c>
      <c r="AE236" t="s">
        <v>76</v>
      </c>
      <c r="AF236" t="s">
        <v>3974</v>
      </c>
      <c r="AG236" t="s">
        <v>77</v>
      </c>
    </row>
    <row r="237" spans="1:33" x14ac:dyDescent="0.25">
      <c r="A237" t="str">
        <f>"1649285354"</f>
        <v>1649285354</v>
      </c>
      <c r="B237" t="str">
        <f>"01102432"</f>
        <v>01102432</v>
      </c>
      <c r="C237" t="s">
        <v>4870</v>
      </c>
      <c r="D237" t="s">
        <v>535</v>
      </c>
      <c r="E237" t="s">
        <v>536</v>
      </c>
      <c r="G237" t="s">
        <v>282</v>
      </c>
      <c r="H237" t="s">
        <v>239</v>
      </c>
      <c r="J237" t="s">
        <v>3949</v>
      </c>
      <c r="L237" t="s">
        <v>126</v>
      </c>
      <c r="M237" t="s">
        <v>81</v>
      </c>
      <c r="R237" t="s">
        <v>238</v>
      </c>
      <c r="W237" t="s">
        <v>536</v>
      </c>
      <c r="X237" t="s">
        <v>534</v>
      </c>
      <c r="Y237" t="s">
        <v>111</v>
      </c>
      <c r="Z237" t="s">
        <v>73</v>
      </c>
      <c r="AA237" t="str">
        <f>"14623-2607"</f>
        <v>14623-2607</v>
      </c>
      <c r="AB237" t="s">
        <v>88</v>
      </c>
      <c r="AC237" t="s">
        <v>75</v>
      </c>
      <c r="AD237" t="s">
        <v>72</v>
      </c>
      <c r="AE237" t="s">
        <v>76</v>
      </c>
      <c r="AF237" t="s">
        <v>4059</v>
      </c>
      <c r="AG237" t="s">
        <v>77</v>
      </c>
    </row>
    <row r="238" spans="1:33" x14ac:dyDescent="0.25">
      <c r="A238" t="str">
        <f>"1427259688"</f>
        <v>1427259688</v>
      </c>
      <c r="B238" t="str">
        <f>"03338534"</f>
        <v>03338534</v>
      </c>
      <c r="C238" t="s">
        <v>4871</v>
      </c>
      <c r="D238" t="s">
        <v>4872</v>
      </c>
      <c r="E238" t="s">
        <v>4873</v>
      </c>
      <c r="G238" t="s">
        <v>4871</v>
      </c>
      <c r="H238" t="s">
        <v>4732</v>
      </c>
      <c r="J238" t="s">
        <v>4874</v>
      </c>
      <c r="L238" t="s">
        <v>79</v>
      </c>
      <c r="M238" t="s">
        <v>72</v>
      </c>
      <c r="R238" t="s">
        <v>4875</v>
      </c>
      <c r="W238" t="s">
        <v>4873</v>
      </c>
      <c r="X238" t="s">
        <v>660</v>
      </c>
      <c r="Y238" t="s">
        <v>326</v>
      </c>
      <c r="Z238" t="s">
        <v>73</v>
      </c>
      <c r="AA238" t="str">
        <f>"14127-1732"</f>
        <v>14127-1732</v>
      </c>
      <c r="AB238" t="s">
        <v>74</v>
      </c>
      <c r="AC238" t="s">
        <v>75</v>
      </c>
      <c r="AD238" t="s">
        <v>72</v>
      </c>
      <c r="AE238" t="s">
        <v>76</v>
      </c>
      <c r="AF238" t="s">
        <v>3974</v>
      </c>
      <c r="AG238" t="s">
        <v>77</v>
      </c>
    </row>
    <row r="239" spans="1:33" x14ac:dyDescent="0.25">
      <c r="A239" t="str">
        <f>"1225095201"</f>
        <v>1225095201</v>
      </c>
      <c r="B239" t="str">
        <f>"02994796"</f>
        <v>02994796</v>
      </c>
      <c r="C239" t="s">
        <v>4876</v>
      </c>
      <c r="D239" t="s">
        <v>450</v>
      </c>
      <c r="E239" t="s">
        <v>451</v>
      </c>
      <c r="G239" t="s">
        <v>4877</v>
      </c>
      <c r="H239" t="s">
        <v>769</v>
      </c>
      <c r="J239" t="s">
        <v>4878</v>
      </c>
      <c r="L239" t="s">
        <v>139</v>
      </c>
      <c r="M239" t="s">
        <v>81</v>
      </c>
      <c r="R239" t="s">
        <v>452</v>
      </c>
      <c r="W239" t="s">
        <v>453</v>
      </c>
      <c r="X239" t="s">
        <v>454</v>
      </c>
      <c r="Y239" t="s">
        <v>455</v>
      </c>
      <c r="Z239" t="s">
        <v>73</v>
      </c>
      <c r="AA239" t="str">
        <f>"14026-1044"</f>
        <v>14026-1044</v>
      </c>
      <c r="AB239" t="s">
        <v>83</v>
      </c>
      <c r="AC239" t="s">
        <v>75</v>
      </c>
      <c r="AD239" t="s">
        <v>72</v>
      </c>
      <c r="AE239" t="s">
        <v>76</v>
      </c>
      <c r="AF239" t="s">
        <v>4879</v>
      </c>
      <c r="AG239" t="s">
        <v>77</v>
      </c>
    </row>
    <row r="240" spans="1:33" x14ac:dyDescent="0.25">
      <c r="A240" t="str">
        <f>"1669651758"</f>
        <v>1669651758</v>
      </c>
      <c r="B240" t="str">
        <f>"02927695"</f>
        <v>02927695</v>
      </c>
      <c r="C240" t="s">
        <v>4880</v>
      </c>
      <c r="D240" t="s">
        <v>4881</v>
      </c>
      <c r="E240" t="s">
        <v>4882</v>
      </c>
      <c r="G240" t="s">
        <v>4883</v>
      </c>
      <c r="H240" t="s">
        <v>3216</v>
      </c>
      <c r="J240" t="s">
        <v>4884</v>
      </c>
      <c r="L240" t="s">
        <v>79</v>
      </c>
      <c r="M240" t="s">
        <v>72</v>
      </c>
      <c r="R240" t="s">
        <v>4882</v>
      </c>
      <c r="W240" t="s">
        <v>4885</v>
      </c>
      <c r="X240" t="s">
        <v>456</v>
      </c>
      <c r="Y240" t="s">
        <v>209</v>
      </c>
      <c r="Z240" t="s">
        <v>73</v>
      </c>
      <c r="AA240" t="str">
        <f>"14301-1813"</f>
        <v>14301-1813</v>
      </c>
      <c r="AB240" t="s">
        <v>74</v>
      </c>
      <c r="AC240" t="s">
        <v>75</v>
      </c>
      <c r="AD240" t="s">
        <v>72</v>
      </c>
      <c r="AE240" t="s">
        <v>76</v>
      </c>
      <c r="AF240" t="s">
        <v>3974</v>
      </c>
      <c r="AG240" t="s">
        <v>77</v>
      </c>
    </row>
    <row r="241" spans="1:33" x14ac:dyDescent="0.25">
      <c r="A241" t="str">
        <f>"1780681569"</f>
        <v>1780681569</v>
      </c>
      <c r="B241" t="str">
        <f>"02548516"</f>
        <v>02548516</v>
      </c>
      <c r="C241" t="s">
        <v>4886</v>
      </c>
      <c r="D241" t="s">
        <v>3153</v>
      </c>
      <c r="E241" t="s">
        <v>3154</v>
      </c>
      <c r="G241" t="s">
        <v>4887</v>
      </c>
      <c r="H241" t="s">
        <v>789</v>
      </c>
      <c r="J241" t="s">
        <v>4888</v>
      </c>
      <c r="L241" t="s">
        <v>79</v>
      </c>
      <c r="M241" t="s">
        <v>72</v>
      </c>
      <c r="R241" t="s">
        <v>3155</v>
      </c>
      <c r="W241" t="s">
        <v>3154</v>
      </c>
      <c r="X241" t="s">
        <v>204</v>
      </c>
      <c r="Y241" t="s">
        <v>117</v>
      </c>
      <c r="Z241" t="s">
        <v>73</v>
      </c>
      <c r="AA241" t="str">
        <f>"14263-0001"</f>
        <v>14263-0001</v>
      </c>
      <c r="AB241" t="s">
        <v>74</v>
      </c>
      <c r="AC241" t="s">
        <v>75</v>
      </c>
      <c r="AD241" t="s">
        <v>72</v>
      </c>
      <c r="AE241" t="s">
        <v>76</v>
      </c>
      <c r="AF241" t="s">
        <v>3974</v>
      </c>
      <c r="AG241" t="s">
        <v>77</v>
      </c>
    </row>
    <row r="242" spans="1:33" x14ac:dyDescent="0.25">
      <c r="A242" t="str">
        <f>"1649275231"</f>
        <v>1649275231</v>
      </c>
      <c r="B242" t="str">
        <f>"01829950"</f>
        <v>01829950</v>
      </c>
      <c r="C242" t="s">
        <v>4889</v>
      </c>
      <c r="D242" t="s">
        <v>4890</v>
      </c>
      <c r="E242" t="s">
        <v>4891</v>
      </c>
      <c r="L242" t="s">
        <v>79</v>
      </c>
      <c r="M242" t="s">
        <v>72</v>
      </c>
      <c r="R242" t="s">
        <v>4891</v>
      </c>
      <c r="W242" t="s">
        <v>4891</v>
      </c>
      <c r="X242" t="s">
        <v>4892</v>
      </c>
      <c r="Y242" t="s">
        <v>111</v>
      </c>
      <c r="Z242" t="s">
        <v>73</v>
      </c>
      <c r="AA242" t="str">
        <f>"14620-4648"</f>
        <v>14620-4648</v>
      </c>
      <c r="AB242" t="s">
        <v>74</v>
      </c>
      <c r="AC242" t="s">
        <v>75</v>
      </c>
      <c r="AD242" t="s">
        <v>72</v>
      </c>
      <c r="AE242" t="s">
        <v>76</v>
      </c>
      <c r="AF242" t="s">
        <v>4043</v>
      </c>
      <c r="AG242" t="s">
        <v>77</v>
      </c>
    </row>
    <row r="243" spans="1:33" x14ac:dyDescent="0.25">
      <c r="A243" t="str">
        <f>"1669478095"</f>
        <v>1669478095</v>
      </c>
      <c r="B243" t="str">
        <f>"01091529"</f>
        <v>01091529</v>
      </c>
      <c r="C243" t="s">
        <v>4893</v>
      </c>
      <c r="D243" t="s">
        <v>3145</v>
      </c>
      <c r="E243" t="s">
        <v>3146</v>
      </c>
      <c r="L243" t="s">
        <v>79</v>
      </c>
      <c r="M243" t="s">
        <v>72</v>
      </c>
      <c r="R243" t="s">
        <v>3147</v>
      </c>
      <c r="W243" t="s">
        <v>3146</v>
      </c>
      <c r="X243" t="s">
        <v>3148</v>
      </c>
      <c r="Y243" t="s">
        <v>117</v>
      </c>
      <c r="Z243" t="s">
        <v>73</v>
      </c>
      <c r="AA243" t="str">
        <f>"14222-2099"</f>
        <v>14222-2099</v>
      </c>
      <c r="AB243" t="s">
        <v>74</v>
      </c>
      <c r="AC243" t="s">
        <v>75</v>
      </c>
      <c r="AD243" t="s">
        <v>72</v>
      </c>
      <c r="AE243" t="s">
        <v>76</v>
      </c>
      <c r="AF243" t="s">
        <v>4043</v>
      </c>
      <c r="AG243" t="s">
        <v>77</v>
      </c>
    </row>
    <row r="244" spans="1:33" x14ac:dyDescent="0.25">
      <c r="A244" t="str">
        <f>"1093721730"</f>
        <v>1093721730</v>
      </c>
      <c r="B244" t="str">
        <f>"03071670"</f>
        <v>03071670</v>
      </c>
      <c r="C244" t="s">
        <v>4894</v>
      </c>
      <c r="D244" t="s">
        <v>4895</v>
      </c>
      <c r="E244" t="s">
        <v>4896</v>
      </c>
      <c r="L244" t="s">
        <v>79</v>
      </c>
      <c r="M244" t="s">
        <v>72</v>
      </c>
      <c r="R244" t="s">
        <v>4897</v>
      </c>
      <c r="W244" t="s">
        <v>4896</v>
      </c>
      <c r="X244" t="s">
        <v>204</v>
      </c>
      <c r="Y244" t="s">
        <v>117</v>
      </c>
      <c r="Z244" t="s">
        <v>73</v>
      </c>
      <c r="AA244" t="str">
        <f>"14263-0001"</f>
        <v>14263-0001</v>
      </c>
      <c r="AB244" t="s">
        <v>74</v>
      </c>
      <c r="AC244" t="s">
        <v>75</v>
      </c>
      <c r="AD244" t="s">
        <v>72</v>
      </c>
      <c r="AE244" t="s">
        <v>76</v>
      </c>
      <c r="AF244" t="s">
        <v>4043</v>
      </c>
      <c r="AG244" t="s">
        <v>77</v>
      </c>
    </row>
    <row r="245" spans="1:33" x14ac:dyDescent="0.25">
      <c r="A245" t="str">
        <f>"1467458893"</f>
        <v>1467458893</v>
      </c>
      <c r="B245" t="str">
        <f>"01435038"</f>
        <v>01435038</v>
      </c>
      <c r="C245" t="s">
        <v>4898</v>
      </c>
      <c r="D245" t="s">
        <v>4899</v>
      </c>
      <c r="E245" t="s">
        <v>4900</v>
      </c>
      <c r="L245" t="s">
        <v>79</v>
      </c>
      <c r="M245" t="s">
        <v>72</v>
      </c>
      <c r="R245" t="s">
        <v>4901</v>
      </c>
      <c r="W245" t="s">
        <v>4900</v>
      </c>
      <c r="X245" t="s">
        <v>4902</v>
      </c>
      <c r="Y245" t="s">
        <v>240</v>
      </c>
      <c r="Z245" t="s">
        <v>73</v>
      </c>
      <c r="AA245" t="str">
        <f>"14094-5370"</f>
        <v>14094-5370</v>
      </c>
      <c r="AB245" t="s">
        <v>74</v>
      </c>
      <c r="AC245" t="s">
        <v>75</v>
      </c>
      <c r="AD245" t="s">
        <v>72</v>
      </c>
      <c r="AE245" t="s">
        <v>76</v>
      </c>
      <c r="AF245" t="s">
        <v>4043</v>
      </c>
      <c r="AG245" t="s">
        <v>77</v>
      </c>
    </row>
    <row r="246" spans="1:33" x14ac:dyDescent="0.25">
      <c r="A246" t="str">
        <f>"1366757775"</f>
        <v>1366757775</v>
      </c>
      <c r="B246" t="str">
        <f>"03253078"</f>
        <v>03253078</v>
      </c>
      <c r="C246" t="s">
        <v>4903</v>
      </c>
      <c r="D246" t="s">
        <v>4904</v>
      </c>
      <c r="E246" t="s">
        <v>4905</v>
      </c>
      <c r="L246" t="s">
        <v>79</v>
      </c>
      <c r="M246" t="s">
        <v>72</v>
      </c>
      <c r="R246" t="s">
        <v>4906</v>
      </c>
      <c r="W246" t="s">
        <v>4905</v>
      </c>
      <c r="X246" t="s">
        <v>204</v>
      </c>
      <c r="Y246" t="s">
        <v>117</v>
      </c>
      <c r="Z246" t="s">
        <v>73</v>
      </c>
      <c r="AA246" t="str">
        <f>"14263-0001"</f>
        <v>14263-0001</v>
      </c>
      <c r="AB246" t="s">
        <v>74</v>
      </c>
      <c r="AC246" t="s">
        <v>75</v>
      </c>
      <c r="AD246" t="s">
        <v>72</v>
      </c>
      <c r="AE246" t="s">
        <v>76</v>
      </c>
      <c r="AF246" t="s">
        <v>4043</v>
      </c>
      <c r="AG246" t="s">
        <v>77</v>
      </c>
    </row>
    <row r="247" spans="1:33" x14ac:dyDescent="0.25">
      <c r="A247" t="str">
        <f>"1306982020"</f>
        <v>1306982020</v>
      </c>
      <c r="B247" t="str">
        <f>"03124352"</f>
        <v>03124352</v>
      </c>
      <c r="C247" t="s">
        <v>4907</v>
      </c>
      <c r="D247" t="s">
        <v>2396</v>
      </c>
      <c r="E247" t="s">
        <v>2397</v>
      </c>
      <c r="L247" t="s">
        <v>79</v>
      </c>
      <c r="M247" t="s">
        <v>72</v>
      </c>
      <c r="R247" t="s">
        <v>2397</v>
      </c>
      <c r="W247" t="s">
        <v>2397</v>
      </c>
      <c r="X247" t="s">
        <v>204</v>
      </c>
      <c r="Y247" t="s">
        <v>117</v>
      </c>
      <c r="Z247" t="s">
        <v>73</v>
      </c>
      <c r="AA247" t="str">
        <f>"14263-0001"</f>
        <v>14263-0001</v>
      </c>
      <c r="AB247" t="s">
        <v>74</v>
      </c>
      <c r="AC247" t="s">
        <v>75</v>
      </c>
      <c r="AD247" t="s">
        <v>72</v>
      </c>
      <c r="AE247" t="s">
        <v>76</v>
      </c>
      <c r="AF247" t="s">
        <v>4043</v>
      </c>
      <c r="AG247" t="s">
        <v>77</v>
      </c>
    </row>
    <row r="248" spans="1:33" x14ac:dyDescent="0.25">
      <c r="A248" t="str">
        <f>"1184620080"</f>
        <v>1184620080</v>
      </c>
      <c r="B248" t="str">
        <f>"01606106"</f>
        <v>01606106</v>
      </c>
      <c r="C248" t="s">
        <v>4908</v>
      </c>
      <c r="D248" t="s">
        <v>4909</v>
      </c>
      <c r="E248" t="s">
        <v>4910</v>
      </c>
      <c r="L248" t="s">
        <v>79</v>
      </c>
      <c r="M248" t="s">
        <v>72</v>
      </c>
      <c r="R248" t="s">
        <v>4911</v>
      </c>
      <c r="W248" t="s">
        <v>4910</v>
      </c>
      <c r="X248" t="s">
        <v>290</v>
      </c>
      <c r="Y248" t="s">
        <v>117</v>
      </c>
      <c r="Z248" t="s">
        <v>73</v>
      </c>
      <c r="AA248" t="str">
        <f>"14263-0001"</f>
        <v>14263-0001</v>
      </c>
      <c r="AB248" t="s">
        <v>74</v>
      </c>
      <c r="AC248" t="s">
        <v>75</v>
      </c>
      <c r="AD248" t="s">
        <v>72</v>
      </c>
      <c r="AE248" t="s">
        <v>76</v>
      </c>
      <c r="AF248" t="s">
        <v>4043</v>
      </c>
      <c r="AG248" t="s">
        <v>77</v>
      </c>
    </row>
    <row r="249" spans="1:33" x14ac:dyDescent="0.25">
      <c r="A249" t="str">
        <f>"1053577221"</f>
        <v>1053577221</v>
      </c>
      <c r="B249" t="str">
        <f>"03348652"</f>
        <v>03348652</v>
      </c>
      <c r="C249" t="s">
        <v>4912</v>
      </c>
      <c r="D249" t="s">
        <v>4913</v>
      </c>
      <c r="E249" t="s">
        <v>4914</v>
      </c>
      <c r="L249" t="s">
        <v>79</v>
      </c>
      <c r="M249" t="s">
        <v>72</v>
      </c>
      <c r="R249" t="s">
        <v>4915</v>
      </c>
      <c r="W249" t="s">
        <v>4916</v>
      </c>
      <c r="X249" t="s">
        <v>4917</v>
      </c>
      <c r="Y249" t="s">
        <v>1929</v>
      </c>
      <c r="Z249" t="s">
        <v>198</v>
      </c>
      <c r="AA249" t="str">
        <f>"06851-5726"</f>
        <v>06851-5726</v>
      </c>
      <c r="AB249" t="s">
        <v>74</v>
      </c>
      <c r="AC249" t="s">
        <v>75</v>
      </c>
      <c r="AD249" t="s">
        <v>72</v>
      </c>
      <c r="AE249" t="s">
        <v>76</v>
      </c>
      <c r="AF249" t="s">
        <v>4043</v>
      </c>
      <c r="AG249" t="s">
        <v>77</v>
      </c>
    </row>
    <row r="250" spans="1:33" x14ac:dyDescent="0.25">
      <c r="A250" t="str">
        <f>"1225034218"</f>
        <v>1225034218</v>
      </c>
      <c r="B250" t="str">
        <f>"01049449"</f>
        <v>01049449</v>
      </c>
      <c r="C250" t="s">
        <v>4918</v>
      </c>
      <c r="D250" t="s">
        <v>4919</v>
      </c>
      <c r="E250" t="s">
        <v>4920</v>
      </c>
      <c r="L250" t="s">
        <v>79</v>
      </c>
      <c r="M250" t="s">
        <v>72</v>
      </c>
      <c r="R250" t="s">
        <v>4921</v>
      </c>
      <c r="W250" t="s">
        <v>4920</v>
      </c>
      <c r="X250" t="s">
        <v>167</v>
      </c>
      <c r="Y250" t="s">
        <v>85</v>
      </c>
      <c r="Z250" t="s">
        <v>73</v>
      </c>
      <c r="AA250" t="str">
        <f>"12208-3412"</f>
        <v>12208-3412</v>
      </c>
      <c r="AB250" t="s">
        <v>74</v>
      </c>
      <c r="AC250" t="s">
        <v>75</v>
      </c>
      <c r="AD250" t="s">
        <v>72</v>
      </c>
      <c r="AE250" t="s">
        <v>76</v>
      </c>
      <c r="AF250" t="s">
        <v>4043</v>
      </c>
      <c r="AG250" t="s">
        <v>77</v>
      </c>
    </row>
    <row r="251" spans="1:33" x14ac:dyDescent="0.25">
      <c r="A251" t="str">
        <f>"1285953919"</f>
        <v>1285953919</v>
      </c>
      <c r="B251" t="str">
        <f>"03820871"</f>
        <v>03820871</v>
      </c>
      <c r="C251" t="s">
        <v>4922</v>
      </c>
      <c r="D251" t="s">
        <v>4923</v>
      </c>
      <c r="E251" t="s">
        <v>4924</v>
      </c>
      <c r="L251" t="s">
        <v>79</v>
      </c>
      <c r="M251" t="s">
        <v>72</v>
      </c>
      <c r="R251" t="s">
        <v>4925</v>
      </c>
      <c r="W251" t="s">
        <v>4924</v>
      </c>
      <c r="X251" t="s">
        <v>204</v>
      </c>
      <c r="Y251" t="s">
        <v>117</v>
      </c>
      <c r="Z251" t="s">
        <v>73</v>
      </c>
      <c r="AA251" t="str">
        <f>"14263-0001"</f>
        <v>14263-0001</v>
      </c>
      <c r="AB251" t="s">
        <v>74</v>
      </c>
      <c r="AC251" t="s">
        <v>75</v>
      </c>
      <c r="AD251" t="s">
        <v>72</v>
      </c>
      <c r="AE251" t="s">
        <v>76</v>
      </c>
      <c r="AF251" t="s">
        <v>4043</v>
      </c>
      <c r="AG251" t="s">
        <v>77</v>
      </c>
    </row>
    <row r="252" spans="1:33" x14ac:dyDescent="0.25">
      <c r="A252" t="str">
        <f>"1669478053"</f>
        <v>1669478053</v>
      </c>
      <c r="B252" t="str">
        <f>"01436020"</f>
        <v>01436020</v>
      </c>
      <c r="C252" t="s">
        <v>4926</v>
      </c>
      <c r="D252" t="s">
        <v>4927</v>
      </c>
      <c r="E252" t="s">
        <v>4928</v>
      </c>
      <c r="L252" t="s">
        <v>79</v>
      </c>
      <c r="M252" t="s">
        <v>72</v>
      </c>
      <c r="R252" t="s">
        <v>4929</v>
      </c>
      <c r="W252" t="s">
        <v>4928</v>
      </c>
      <c r="X252" t="s">
        <v>3011</v>
      </c>
      <c r="Y252" t="s">
        <v>117</v>
      </c>
      <c r="Z252" t="s">
        <v>73</v>
      </c>
      <c r="AA252" t="str">
        <f>"14263-0001"</f>
        <v>14263-0001</v>
      </c>
      <c r="AB252" t="s">
        <v>74</v>
      </c>
      <c r="AC252" t="s">
        <v>75</v>
      </c>
      <c r="AD252" t="s">
        <v>72</v>
      </c>
      <c r="AE252" t="s">
        <v>76</v>
      </c>
      <c r="AF252" t="s">
        <v>4043</v>
      </c>
      <c r="AG252" t="s">
        <v>77</v>
      </c>
    </row>
    <row r="253" spans="1:33" x14ac:dyDescent="0.25">
      <c r="A253" t="str">
        <f>"1932180379"</f>
        <v>1932180379</v>
      </c>
      <c r="B253" t="str">
        <f>"02675487"</f>
        <v>02675487</v>
      </c>
      <c r="C253" t="s">
        <v>4930</v>
      </c>
      <c r="D253" t="s">
        <v>4931</v>
      </c>
      <c r="E253" t="s">
        <v>4932</v>
      </c>
      <c r="L253" t="s">
        <v>79</v>
      </c>
      <c r="M253" t="s">
        <v>72</v>
      </c>
      <c r="R253" t="s">
        <v>4933</v>
      </c>
      <c r="W253" t="s">
        <v>4932</v>
      </c>
      <c r="X253" t="s">
        <v>204</v>
      </c>
      <c r="Y253" t="s">
        <v>117</v>
      </c>
      <c r="Z253" t="s">
        <v>73</v>
      </c>
      <c r="AA253" t="str">
        <f>"14263-0001"</f>
        <v>14263-0001</v>
      </c>
      <c r="AB253" t="s">
        <v>74</v>
      </c>
      <c r="AC253" t="s">
        <v>75</v>
      </c>
      <c r="AD253" t="s">
        <v>72</v>
      </c>
      <c r="AE253" t="s">
        <v>76</v>
      </c>
      <c r="AF253" t="s">
        <v>4043</v>
      </c>
      <c r="AG253" t="s">
        <v>77</v>
      </c>
    </row>
    <row r="254" spans="1:33" x14ac:dyDescent="0.25">
      <c r="A254" t="str">
        <f>"1467458851"</f>
        <v>1467458851</v>
      </c>
      <c r="B254" t="str">
        <f>"01436277"</f>
        <v>01436277</v>
      </c>
      <c r="C254" t="s">
        <v>4934</v>
      </c>
      <c r="D254" t="s">
        <v>4935</v>
      </c>
      <c r="E254" t="s">
        <v>4936</v>
      </c>
      <c r="L254" t="s">
        <v>79</v>
      </c>
      <c r="M254" t="s">
        <v>72</v>
      </c>
      <c r="R254" t="s">
        <v>4937</v>
      </c>
      <c r="W254" t="s">
        <v>4936</v>
      </c>
      <c r="X254" t="s">
        <v>3011</v>
      </c>
      <c r="Y254" t="s">
        <v>117</v>
      </c>
      <c r="Z254" t="s">
        <v>73</v>
      </c>
      <c r="AA254" t="str">
        <f>"14263-0001"</f>
        <v>14263-0001</v>
      </c>
      <c r="AB254" t="s">
        <v>74</v>
      </c>
      <c r="AC254" t="s">
        <v>75</v>
      </c>
      <c r="AD254" t="s">
        <v>72</v>
      </c>
      <c r="AE254" t="s">
        <v>76</v>
      </c>
      <c r="AF254" t="s">
        <v>4043</v>
      </c>
      <c r="AG254" t="s">
        <v>77</v>
      </c>
    </row>
    <row r="255" spans="1:33" x14ac:dyDescent="0.25">
      <c r="A255" t="str">
        <f>"1720084122"</f>
        <v>1720084122</v>
      </c>
      <c r="B255" t="str">
        <f>"02346014"</f>
        <v>02346014</v>
      </c>
      <c r="C255" t="s">
        <v>4938</v>
      </c>
      <c r="D255" t="s">
        <v>909</v>
      </c>
      <c r="E255" t="s">
        <v>910</v>
      </c>
      <c r="L255" t="s">
        <v>79</v>
      </c>
      <c r="M255" t="s">
        <v>72</v>
      </c>
      <c r="R255" t="s">
        <v>911</v>
      </c>
      <c r="W255" t="s">
        <v>910</v>
      </c>
      <c r="X255" t="s">
        <v>912</v>
      </c>
      <c r="Y255" t="s">
        <v>117</v>
      </c>
      <c r="Z255" t="s">
        <v>73</v>
      </c>
      <c r="AA255" t="str">
        <f>"14263-0001"</f>
        <v>14263-0001</v>
      </c>
      <c r="AB255" t="s">
        <v>74</v>
      </c>
      <c r="AC255" t="s">
        <v>75</v>
      </c>
      <c r="AD255" t="s">
        <v>72</v>
      </c>
      <c r="AE255" t="s">
        <v>76</v>
      </c>
      <c r="AF255" t="s">
        <v>4043</v>
      </c>
      <c r="AG255" t="s">
        <v>77</v>
      </c>
    </row>
    <row r="256" spans="1:33" x14ac:dyDescent="0.25">
      <c r="A256" t="str">
        <f>"1427007095"</f>
        <v>1427007095</v>
      </c>
      <c r="B256" t="str">
        <f>"02298617"</f>
        <v>02298617</v>
      </c>
      <c r="C256" t="s">
        <v>4939</v>
      </c>
      <c r="D256" t="s">
        <v>723</v>
      </c>
      <c r="E256" t="s">
        <v>724</v>
      </c>
      <c r="L256" t="s">
        <v>79</v>
      </c>
      <c r="M256" t="s">
        <v>72</v>
      </c>
      <c r="R256" t="s">
        <v>725</v>
      </c>
      <c r="W256" t="s">
        <v>726</v>
      </c>
      <c r="X256" t="s">
        <v>229</v>
      </c>
      <c r="Y256" t="s">
        <v>120</v>
      </c>
      <c r="Z256" t="s">
        <v>73</v>
      </c>
      <c r="AA256" t="str">
        <f>"13210-2342"</f>
        <v>13210-2342</v>
      </c>
      <c r="AB256" t="s">
        <v>74</v>
      </c>
      <c r="AC256" t="s">
        <v>75</v>
      </c>
      <c r="AD256" t="s">
        <v>72</v>
      </c>
      <c r="AE256" t="s">
        <v>76</v>
      </c>
      <c r="AF256" t="s">
        <v>4043</v>
      </c>
      <c r="AG256" t="s">
        <v>77</v>
      </c>
    </row>
    <row r="257" spans="1:33" x14ac:dyDescent="0.25">
      <c r="A257" t="str">
        <f>"1881852697"</f>
        <v>1881852697</v>
      </c>
      <c r="B257" t="str">
        <f>"03090580"</f>
        <v>03090580</v>
      </c>
      <c r="C257" t="s">
        <v>4940</v>
      </c>
      <c r="D257" t="s">
        <v>4941</v>
      </c>
      <c r="E257" t="s">
        <v>4942</v>
      </c>
      <c r="L257" t="s">
        <v>79</v>
      </c>
      <c r="M257" t="s">
        <v>72</v>
      </c>
      <c r="R257" t="s">
        <v>4943</v>
      </c>
      <c r="W257" t="s">
        <v>4942</v>
      </c>
      <c r="X257" t="s">
        <v>2303</v>
      </c>
      <c r="Y257" t="s">
        <v>117</v>
      </c>
      <c r="Z257" t="s">
        <v>73</v>
      </c>
      <c r="AA257" t="str">
        <f>"14263-0001"</f>
        <v>14263-0001</v>
      </c>
      <c r="AB257" t="s">
        <v>74</v>
      </c>
      <c r="AC257" t="s">
        <v>75</v>
      </c>
      <c r="AD257" t="s">
        <v>72</v>
      </c>
      <c r="AE257" t="s">
        <v>76</v>
      </c>
      <c r="AF257" t="s">
        <v>4043</v>
      </c>
      <c r="AG257" t="s">
        <v>77</v>
      </c>
    </row>
    <row r="258" spans="1:33" x14ac:dyDescent="0.25">
      <c r="A258" t="str">
        <f>"1013987718"</f>
        <v>1013987718</v>
      </c>
      <c r="B258" t="str">
        <f>"03023154"</f>
        <v>03023154</v>
      </c>
      <c r="C258" t="s">
        <v>4944</v>
      </c>
      <c r="D258" t="s">
        <v>4945</v>
      </c>
      <c r="E258" t="s">
        <v>4946</v>
      </c>
      <c r="L258" t="s">
        <v>79</v>
      </c>
      <c r="M258" t="s">
        <v>72</v>
      </c>
      <c r="R258" t="s">
        <v>4947</v>
      </c>
      <c r="W258" t="s">
        <v>4946</v>
      </c>
      <c r="X258" t="s">
        <v>204</v>
      </c>
      <c r="Y258" t="s">
        <v>117</v>
      </c>
      <c r="Z258" t="s">
        <v>73</v>
      </c>
      <c r="AA258" t="str">
        <f>"14263-0001"</f>
        <v>14263-0001</v>
      </c>
      <c r="AB258" t="s">
        <v>74</v>
      </c>
      <c r="AC258" t="s">
        <v>75</v>
      </c>
      <c r="AD258" t="s">
        <v>72</v>
      </c>
      <c r="AE258" t="s">
        <v>76</v>
      </c>
      <c r="AF258" t="s">
        <v>4043</v>
      </c>
      <c r="AG258" t="s">
        <v>77</v>
      </c>
    </row>
    <row r="259" spans="1:33" x14ac:dyDescent="0.25">
      <c r="A259" t="str">
        <f>"1184979379"</f>
        <v>1184979379</v>
      </c>
      <c r="B259" t="str">
        <f>"03931091"</f>
        <v>03931091</v>
      </c>
      <c r="C259" t="s">
        <v>4948</v>
      </c>
      <c r="D259" t="s">
        <v>4949</v>
      </c>
      <c r="E259" t="s">
        <v>4950</v>
      </c>
      <c r="L259" t="s">
        <v>79</v>
      </c>
      <c r="M259" t="s">
        <v>72</v>
      </c>
      <c r="R259" t="s">
        <v>4950</v>
      </c>
      <c r="W259" t="s">
        <v>4950</v>
      </c>
      <c r="X259" t="s">
        <v>204</v>
      </c>
      <c r="Y259" t="s">
        <v>117</v>
      </c>
      <c r="Z259" t="s">
        <v>73</v>
      </c>
      <c r="AA259" t="str">
        <f>"14263-0001"</f>
        <v>14263-0001</v>
      </c>
      <c r="AB259" t="s">
        <v>74</v>
      </c>
      <c r="AC259" t="s">
        <v>75</v>
      </c>
      <c r="AD259" t="s">
        <v>72</v>
      </c>
      <c r="AE259" t="s">
        <v>76</v>
      </c>
      <c r="AF259" t="s">
        <v>4043</v>
      </c>
      <c r="AG259" t="s">
        <v>77</v>
      </c>
    </row>
    <row r="260" spans="1:33" x14ac:dyDescent="0.25">
      <c r="A260" t="str">
        <f>"1639143795"</f>
        <v>1639143795</v>
      </c>
      <c r="B260" t="str">
        <f>"02937891"</f>
        <v>02937891</v>
      </c>
      <c r="C260" t="s">
        <v>4951</v>
      </c>
      <c r="D260" t="s">
        <v>2762</v>
      </c>
      <c r="E260" t="s">
        <v>2763</v>
      </c>
      <c r="L260" t="s">
        <v>79</v>
      </c>
      <c r="M260" t="s">
        <v>72</v>
      </c>
      <c r="R260" t="s">
        <v>2763</v>
      </c>
      <c r="W260" t="s">
        <v>2764</v>
      </c>
      <c r="X260" t="s">
        <v>2765</v>
      </c>
      <c r="Y260" t="s">
        <v>117</v>
      </c>
      <c r="Z260" t="s">
        <v>73</v>
      </c>
      <c r="AA260" t="str">
        <f>"14263-0001"</f>
        <v>14263-0001</v>
      </c>
      <c r="AB260" t="s">
        <v>74</v>
      </c>
      <c r="AC260" t="s">
        <v>75</v>
      </c>
      <c r="AD260" t="s">
        <v>72</v>
      </c>
      <c r="AE260" t="s">
        <v>76</v>
      </c>
      <c r="AF260" t="s">
        <v>4043</v>
      </c>
      <c r="AG260" t="s">
        <v>77</v>
      </c>
    </row>
    <row r="261" spans="1:33" x14ac:dyDescent="0.25">
      <c r="A261" t="str">
        <f>"1316903321"</f>
        <v>1316903321</v>
      </c>
      <c r="B261" t="str">
        <f>"00716610"</f>
        <v>00716610</v>
      </c>
      <c r="C261" t="s">
        <v>4952</v>
      </c>
      <c r="D261" t="s">
        <v>3219</v>
      </c>
      <c r="E261" t="s">
        <v>3220</v>
      </c>
      <c r="L261" t="s">
        <v>79</v>
      </c>
      <c r="M261" t="s">
        <v>72</v>
      </c>
      <c r="R261" t="s">
        <v>3221</v>
      </c>
      <c r="W261" t="s">
        <v>3222</v>
      </c>
      <c r="X261" t="s">
        <v>243</v>
      </c>
      <c r="Y261" t="s">
        <v>117</v>
      </c>
      <c r="Z261" t="s">
        <v>73</v>
      </c>
      <c r="AA261" t="str">
        <f>"14203-1126"</f>
        <v>14203-1126</v>
      </c>
      <c r="AB261" t="s">
        <v>74</v>
      </c>
      <c r="AC261" t="s">
        <v>75</v>
      </c>
      <c r="AD261" t="s">
        <v>72</v>
      </c>
      <c r="AE261" t="s">
        <v>76</v>
      </c>
      <c r="AF261" t="s">
        <v>4043</v>
      </c>
      <c r="AG261" t="s">
        <v>77</v>
      </c>
    </row>
    <row r="262" spans="1:33" x14ac:dyDescent="0.25">
      <c r="A262" t="str">
        <f>"1467516989"</f>
        <v>1467516989</v>
      </c>
      <c r="B262" t="str">
        <f>"02946014"</f>
        <v>02946014</v>
      </c>
      <c r="C262" t="s">
        <v>4953</v>
      </c>
      <c r="D262" t="s">
        <v>4954</v>
      </c>
      <c r="E262" t="s">
        <v>4955</v>
      </c>
      <c r="L262" t="s">
        <v>71</v>
      </c>
      <c r="M262" t="s">
        <v>72</v>
      </c>
      <c r="R262" t="s">
        <v>4955</v>
      </c>
      <c r="W262" t="s">
        <v>4956</v>
      </c>
      <c r="X262" t="s">
        <v>204</v>
      </c>
      <c r="Y262" t="s">
        <v>117</v>
      </c>
      <c r="Z262" t="s">
        <v>73</v>
      </c>
      <c r="AA262" t="str">
        <f>"14263-0001"</f>
        <v>14263-0001</v>
      </c>
      <c r="AB262" t="s">
        <v>74</v>
      </c>
      <c r="AC262" t="s">
        <v>75</v>
      </c>
      <c r="AD262" t="s">
        <v>72</v>
      </c>
      <c r="AE262" t="s">
        <v>76</v>
      </c>
      <c r="AF262" t="s">
        <v>4043</v>
      </c>
      <c r="AG262" t="s">
        <v>77</v>
      </c>
    </row>
    <row r="263" spans="1:33" x14ac:dyDescent="0.25">
      <c r="A263" t="str">
        <f>"1699117606"</f>
        <v>1699117606</v>
      </c>
      <c r="B263" t="str">
        <f>"03618839"</f>
        <v>03618839</v>
      </c>
      <c r="C263" t="s">
        <v>4957</v>
      </c>
      <c r="D263" t="s">
        <v>4958</v>
      </c>
      <c r="E263" t="s">
        <v>4959</v>
      </c>
      <c r="L263" t="s">
        <v>71</v>
      </c>
      <c r="M263" t="s">
        <v>72</v>
      </c>
      <c r="R263" t="s">
        <v>4960</v>
      </c>
      <c r="W263" t="s">
        <v>4959</v>
      </c>
      <c r="X263" t="s">
        <v>204</v>
      </c>
      <c r="Y263" t="s">
        <v>117</v>
      </c>
      <c r="Z263" t="s">
        <v>73</v>
      </c>
      <c r="AA263" t="str">
        <f>"14263-0001"</f>
        <v>14263-0001</v>
      </c>
      <c r="AB263" t="s">
        <v>74</v>
      </c>
      <c r="AC263" t="s">
        <v>75</v>
      </c>
      <c r="AD263" t="s">
        <v>72</v>
      </c>
      <c r="AE263" t="s">
        <v>76</v>
      </c>
      <c r="AF263" t="s">
        <v>4043</v>
      </c>
      <c r="AG263" t="s">
        <v>77</v>
      </c>
    </row>
    <row r="264" spans="1:33" x14ac:dyDescent="0.25">
      <c r="A264" t="str">
        <f>"1639432743"</f>
        <v>1639432743</v>
      </c>
      <c r="B264" t="str">
        <f>"03507453"</f>
        <v>03507453</v>
      </c>
      <c r="C264" t="s">
        <v>4961</v>
      </c>
      <c r="D264" t="s">
        <v>4962</v>
      </c>
      <c r="E264" t="s">
        <v>4963</v>
      </c>
      <c r="L264" t="s">
        <v>71</v>
      </c>
      <c r="M264" t="s">
        <v>72</v>
      </c>
      <c r="R264" t="s">
        <v>4964</v>
      </c>
      <c r="W264" t="s">
        <v>4963</v>
      </c>
      <c r="X264" t="s">
        <v>204</v>
      </c>
      <c r="Y264" t="s">
        <v>117</v>
      </c>
      <c r="Z264" t="s">
        <v>73</v>
      </c>
      <c r="AA264" t="str">
        <f>"14263-0001"</f>
        <v>14263-0001</v>
      </c>
      <c r="AB264" t="s">
        <v>74</v>
      </c>
      <c r="AC264" t="s">
        <v>75</v>
      </c>
      <c r="AD264" t="s">
        <v>72</v>
      </c>
      <c r="AE264" t="s">
        <v>76</v>
      </c>
      <c r="AF264" t="s">
        <v>4043</v>
      </c>
      <c r="AG264" t="s">
        <v>77</v>
      </c>
    </row>
    <row r="265" spans="1:33" x14ac:dyDescent="0.25">
      <c r="A265" t="str">
        <f>"1548228190"</f>
        <v>1548228190</v>
      </c>
      <c r="B265" t="str">
        <f>"01843365"</f>
        <v>01843365</v>
      </c>
      <c r="C265" t="s">
        <v>4965</v>
      </c>
      <c r="D265" t="s">
        <v>4966</v>
      </c>
      <c r="E265" t="s">
        <v>4967</v>
      </c>
      <c r="G265" t="s">
        <v>4968</v>
      </c>
      <c r="H265" t="s">
        <v>4969</v>
      </c>
      <c r="J265" t="s">
        <v>4970</v>
      </c>
      <c r="L265" t="s">
        <v>79</v>
      </c>
      <c r="M265" t="s">
        <v>72</v>
      </c>
      <c r="R265" t="s">
        <v>4971</v>
      </c>
      <c r="W265" t="s">
        <v>4967</v>
      </c>
      <c r="X265" t="s">
        <v>4972</v>
      </c>
      <c r="Y265" t="s">
        <v>326</v>
      </c>
      <c r="Z265" t="s">
        <v>73</v>
      </c>
      <c r="AA265" t="str">
        <f>"14127-1569"</f>
        <v>14127-1569</v>
      </c>
      <c r="AB265" t="s">
        <v>74</v>
      </c>
      <c r="AC265" t="s">
        <v>75</v>
      </c>
      <c r="AD265" t="s">
        <v>72</v>
      </c>
      <c r="AE265" t="s">
        <v>76</v>
      </c>
      <c r="AF265" t="s">
        <v>4043</v>
      </c>
      <c r="AG265" t="s">
        <v>77</v>
      </c>
    </row>
    <row r="266" spans="1:33" x14ac:dyDescent="0.25">
      <c r="A266" t="str">
        <f>"1982653697"</f>
        <v>1982653697</v>
      </c>
      <c r="B266" t="str">
        <f>"02259281"</f>
        <v>02259281</v>
      </c>
      <c r="C266" t="s">
        <v>4973</v>
      </c>
      <c r="D266" t="s">
        <v>3662</v>
      </c>
      <c r="E266" t="s">
        <v>3663</v>
      </c>
      <c r="G266" t="s">
        <v>4974</v>
      </c>
      <c r="H266" t="s">
        <v>949</v>
      </c>
      <c r="J266" t="s">
        <v>4975</v>
      </c>
      <c r="L266" t="s">
        <v>79</v>
      </c>
      <c r="M266" t="s">
        <v>72</v>
      </c>
      <c r="R266" t="s">
        <v>3664</v>
      </c>
      <c r="W266" t="s">
        <v>3663</v>
      </c>
      <c r="X266" t="s">
        <v>553</v>
      </c>
      <c r="Y266" t="s">
        <v>221</v>
      </c>
      <c r="Z266" t="s">
        <v>73</v>
      </c>
      <c r="AA266" t="str">
        <f>"14221-6800"</f>
        <v>14221-6800</v>
      </c>
      <c r="AB266" t="s">
        <v>74</v>
      </c>
      <c r="AC266" t="s">
        <v>75</v>
      </c>
      <c r="AD266" t="s">
        <v>72</v>
      </c>
      <c r="AE266" t="s">
        <v>76</v>
      </c>
      <c r="AF266" t="s">
        <v>3974</v>
      </c>
      <c r="AG266" t="s">
        <v>77</v>
      </c>
    </row>
    <row r="267" spans="1:33" x14ac:dyDescent="0.25">
      <c r="A267" t="str">
        <f>"1497741391"</f>
        <v>1497741391</v>
      </c>
      <c r="B267" t="str">
        <f>"00903104"</f>
        <v>00903104</v>
      </c>
      <c r="C267" t="s">
        <v>4976</v>
      </c>
      <c r="D267" t="s">
        <v>4977</v>
      </c>
      <c r="E267" t="s">
        <v>4978</v>
      </c>
      <c r="G267" t="s">
        <v>4979</v>
      </c>
      <c r="H267" t="s">
        <v>4980</v>
      </c>
      <c r="J267" t="s">
        <v>4981</v>
      </c>
      <c r="L267" t="s">
        <v>71</v>
      </c>
      <c r="M267" t="s">
        <v>72</v>
      </c>
      <c r="R267" t="s">
        <v>4982</v>
      </c>
      <c r="W267" t="s">
        <v>4978</v>
      </c>
      <c r="X267" t="s">
        <v>4983</v>
      </c>
      <c r="Y267" t="s">
        <v>1079</v>
      </c>
      <c r="Z267" t="s">
        <v>73</v>
      </c>
      <c r="AA267" t="str">
        <f>"14075-1900"</f>
        <v>14075-1900</v>
      </c>
      <c r="AB267" t="s">
        <v>74</v>
      </c>
      <c r="AC267" t="s">
        <v>75</v>
      </c>
      <c r="AD267" t="s">
        <v>72</v>
      </c>
      <c r="AE267" t="s">
        <v>76</v>
      </c>
      <c r="AF267" t="s">
        <v>3974</v>
      </c>
      <c r="AG267" t="s">
        <v>77</v>
      </c>
    </row>
    <row r="268" spans="1:33" x14ac:dyDescent="0.25">
      <c r="A268" t="str">
        <f>"1467431577"</f>
        <v>1467431577</v>
      </c>
      <c r="B268" t="str">
        <f>"00806973"</f>
        <v>00806973</v>
      </c>
      <c r="C268" t="s">
        <v>4984</v>
      </c>
      <c r="D268" t="s">
        <v>4985</v>
      </c>
      <c r="E268" t="s">
        <v>4986</v>
      </c>
      <c r="G268" t="s">
        <v>4987</v>
      </c>
      <c r="H268" t="s">
        <v>4988</v>
      </c>
      <c r="J268" t="s">
        <v>4989</v>
      </c>
      <c r="L268" t="s">
        <v>80</v>
      </c>
      <c r="M268" t="s">
        <v>72</v>
      </c>
      <c r="R268" t="s">
        <v>4990</v>
      </c>
      <c r="W268" t="s">
        <v>4986</v>
      </c>
      <c r="X268" t="s">
        <v>4991</v>
      </c>
      <c r="Y268" t="s">
        <v>317</v>
      </c>
      <c r="Z268" t="s">
        <v>73</v>
      </c>
      <c r="AA268" t="str">
        <f>"14218"</f>
        <v>14218</v>
      </c>
      <c r="AB268" t="s">
        <v>74</v>
      </c>
      <c r="AC268" t="s">
        <v>75</v>
      </c>
      <c r="AD268" t="s">
        <v>72</v>
      </c>
      <c r="AE268" t="s">
        <v>76</v>
      </c>
      <c r="AF268" t="s">
        <v>3961</v>
      </c>
      <c r="AG268" t="s">
        <v>77</v>
      </c>
    </row>
    <row r="269" spans="1:33" x14ac:dyDescent="0.25">
      <c r="A269" t="str">
        <f>"1205082666"</f>
        <v>1205082666</v>
      </c>
      <c r="B269" t="str">
        <f>"03180614"</f>
        <v>03180614</v>
      </c>
      <c r="C269" t="s">
        <v>4992</v>
      </c>
      <c r="D269" t="s">
        <v>4993</v>
      </c>
      <c r="E269" t="s">
        <v>4994</v>
      </c>
      <c r="G269" t="s">
        <v>4995</v>
      </c>
      <c r="H269" t="s">
        <v>743</v>
      </c>
      <c r="J269" t="s">
        <v>4996</v>
      </c>
      <c r="L269" t="s">
        <v>79</v>
      </c>
      <c r="M269" t="s">
        <v>72</v>
      </c>
      <c r="R269" t="s">
        <v>4997</v>
      </c>
      <c r="W269" t="s">
        <v>4998</v>
      </c>
      <c r="X269" t="s">
        <v>4999</v>
      </c>
      <c r="Y269" t="s">
        <v>326</v>
      </c>
      <c r="Z269" t="s">
        <v>73</v>
      </c>
      <c r="AA269" t="str">
        <f>"14127-1231"</f>
        <v>14127-1231</v>
      </c>
      <c r="AB269" t="s">
        <v>74</v>
      </c>
      <c r="AC269" t="s">
        <v>75</v>
      </c>
      <c r="AD269" t="s">
        <v>72</v>
      </c>
      <c r="AE269" t="s">
        <v>76</v>
      </c>
      <c r="AF269" t="s">
        <v>3974</v>
      </c>
      <c r="AG269" t="s">
        <v>77</v>
      </c>
    </row>
    <row r="270" spans="1:33" x14ac:dyDescent="0.25">
      <c r="A270" t="str">
        <f>"1790751501"</f>
        <v>1790751501</v>
      </c>
      <c r="B270" t="str">
        <f>"00978267"</f>
        <v>00978267</v>
      </c>
      <c r="C270" t="s">
        <v>5000</v>
      </c>
      <c r="D270" t="s">
        <v>3516</v>
      </c>
      <c r="E270" t="s">
        <v>3517</v>
      </c>
      <c r="G270" t="s">
        <v>5001</v>
      </c>
      <c r="H270" t="s">
        <v>640</v>
      </c>
      <c r="J270" t="s">
        <v>5002</v>
      </c>
      <c r="L270" t="s">
        <v>80</v>
      </c>
      <c r="M270" t="s">
        <v>72</v>
      </c>
      <c r="R270" t="s">
        <v>3518</v>
      </c>
      <c r="W270" t="s">
        <v>3517</v>
      </c>
      <c r="X270" t="s">
        <v>642</v>
      </c>
      <c r="Y270" t="s">
        <v>117</v>
      </c>
      <c r="Z270" t="s">
        <v>73</v>
      </c>
      <c r="AA270" t="str">
        <f>"14223-2819"</f>
        <v>14223-2819</v>
      </c>
      <c r="AB270" t="s">
        <v>74</v>
      </c>
      <c r="AC270" t="s">
        <v>75</v>
      </c>
      <c r="AD270" t="s">
        <v>72</v>
      </c>
      <c r="AE270" t="s">
        <v>76</v>
      </c>
      <c r="AF270" t="s">
        <v>3961</v>
      </c>
      <c r="AG270" t="s">
        <v>77</v>
      </c>
    </row>
    <row r="271" spans="1:33" x14ac:dyDescent="0.25">
      <c r="A271" t="str">
        <f>"1003147323"</f>
        <v>1003147323</v>
      </c>
      <c r="B271" t="str">
        <f>"03204042"</f>
        <v>03204042</v>
      </c>
      <c r="C271" t="s">
        <v>5003</v>
      </c>
      <c r="D271" t="s">
        <v>2069</v>
      </c>
      <c r="E271" t="s">
        <v>2070</v>
      </c>
      <c r="G271" t="s">
        <v>5004</v>
      </c>
      <c r="H271" t="s">
        <v>5005</v>
      </c>
      <c r="J271" t="s">
        <v>5006</v>
      </c>
      <c r="L271" t="s">
        <v>79</v>
      </c>
      <c r="M271" t="s">
        <v>72</v>
      </c>
      <c r="R271" t="s">
        <v>2071</v>
      </c>
      <c r="W271" t="s">
        <v>2070</v>
      </c>
      <c r="X271" t="s">
        <v>243</v>
      </c>
      <c r="Y271" t="s">
        <v>117</v>
      </c>
      <c r="Z271" t="s">
        <v>73</v>
      </c>
      <c r="AA271" t="str">
        <f>"14203-1126"</f>
        <v>14203-1126</v>
      </c>
      <c r="AB271" t="s">
        <v>74</v>
      </c>
      <c r="AC271" t="s">
        <v>75</v>
      </c>
      <c r="AD271" t="s">
        <v>72</v>
      </c>
      <c r="AE271" t="s">
        <v>76</v>
      </c>
      <c r="AF271" t="s">
        <v>3974</v>
      </c>
      <c r="AG271" t="s">
        <v>77</v>
      </c>
    </row>
    <row r="272" spans="1:33" x14ac:dyDescent="0.25">
      <c r="A272" t="str">
        <f>"1083673693"</f>
        <v>1083673693</v>
      </c>
      <c r="B272" t="str">
        <f>"02084302"</f>
        <v>02084302</v>
      </c>
      <c r="C272" t="s">
        <v>5007</v>
      </c>
      <c r="D272" t="s">
        <v>5008</v>
      </c>
      <c r="E272" t="s">
        <v>5009</v>
      </c>
      <c r="G272" t="s">
        <v>5010</v>
      </c>
      <c r="H272" t="s">
        <v>1119</v>
      </c>
      <c r="J272" t="s">
        <v>5011</v>
      </c>
      <c r="L272" t="s">
        <v>79</v>
      </c>
      <c r="M272" t="s">
        <v>72</v>
      </c>
      <c r="R272" t="s">
        <v>5012</v>
      </c>
      <c r="W272" t="s">
        <v>5009</v>
      </c>
      <c r="X272" t="s">
        <v>5013</v>
      </c>
      <c r="Y272" t="s">
        <v>206</v>
      </c>
      <c r="Z272" t="s">
        <v>73</v>
      </c>
      <c r="AA272" t="str">
        <f>"14048-2288"</f>
        <v>14048-2288</v>
      </c>
      <c r="AB272" t="s">
        <v>74</v>
      </c>
      <c r="AC272" t="s">
        <v>75</v>
      </c>
      <c r="AD272" t="s">
        <v>72</v>
      </c>
      <c r="AE272" t="s">
        <v>76</v>
      </c>
      <c r="AF272" t="s">
        <v>3974</v>
      </c>
      <c r="AG272" t="s">
        <v>77</v>
      </c>
    </row>
    <row r="273" spans="1:33" x14ac:dyDescent="0.25">
      <c r="A273" t="str">
        <f>"1538127113"</f>
        <v>1538127113</v>
      </c>
      <c r="B273" t="str">
        <f>"02461392"</f>
        <v>02461392</v>
      </c>
      <c r="C273" t="s">
        <v>5014</v>
      </c>
      <c r="D273" t="s">
        <v>5015</v>
      </c>
      <c r="E273" t="s">
        <v>5016</v>
      </c>
      <c r="G273" t="s">
        <v>4852</v>
      </c>
      <c r="H273" t="s">
        <v>4853</v>
      </c>
      <c r="J273" t="s">
        <v>4854</v>
      </c>
      <c r="L273" t="s">
        <v>80</v>
      </c>
      <c r="M273" t="s">
        <v>72</v>
      </c>
      <c r="R273" t="s">
        <v>5017</v>
      </c>
      <c r="W273" t="s">
        <v>5016</v>
      </c>
      <c r="X273" t="s">
        <v>243</v>
      </c>
      <c r="Y273" t="s">
        <v>117</v>
      </c>
      <c r="Z273" t="s">
        <v>73</v>
      </c>
      <c r="AA273" t="str">
        <f>"14203-1126"</f>
        <v>14203-1126</v>
      </c>
      <c r="AB273" t="s">
        <v>74</v>
      </c>
      <c r="AC273" t="s">
        <v>75</v>
      </c>
      <c r="AD273" t="s">
        <v>72</v>
      </c>
      <c r="AE273" t="s">
        <v>76</v>
      </c>
      <c r="AF273" t="s">
        <v>3961</v>
      </c>
      <c r="AG273" t="s">
        <v>77</v>
      </c>
    </row>
    <row r="274" spans="1:33" x14ac:dyDescent="0.25">
      <c r="A274" t="str">
        <f>"1518163419"</f>
        <v>1518163419</v>
      </c>
      <c r="B274" t="str">
        <f>"02899690"</f>
        <v>02899690</v>
      </c>
      <c r="C274" t="s">
        <v>5018</v>
      </c>
      <c r="D274" t="s">
        <v>1679</v>
      </c>
      <c r="E274" t="s">
        <v>1680</v>
      </c>
      <c r="G274" t="s">
        <v>5019</v>
      </c>
      <c r="H274" t="s">
        <v>1681</v>
      </c>
      <c r="J274" t="s">
        <v>5020</v>
      </c>
      <c r="L274" t="s">
        <v>79</v>
      </c>
      <c r="M274" t="s">
        <v>72</v>
      </c>
      <c r="R274" t="s">
        <v>1682</v>
      </c>
      <c r="W274" t="s">
        <v>1680</v>
      </c>
      <c r="X274" t="s">
        <v>391</v>
      </c>
      <c r="Y274" t="s">
        <v>733</v>
      </c>
      <c r="Z274" t="s">
        <v>73</v>
      </c>
      <c r="AA274" t="str">
        <f>"14120-6150"</f>
        <v>14120-6150</v>
      </c>
      <c r="AB274" t="s">
        <v>74</v>
      </c>
      <c r="AC274" t="s">
        <v>75</v>
      </c>
      <c r="AD274" t="s">
        <v>72</v>
      </c>
      <c r="AE274" t="s">
        <v>76</v>
      </c>
      <c r="AF274" t="s">
        <v>3961</v>
      </c>
      <c r="AG274" t="s">
        <v>77</v>
      </c>
    </row>
    <row r="275" spans="1:33" x14ac:dyDescent="0.25">
      <c r="A275" t="str">
        <f>"1679550412"</f>
        <v>1679550412</v>
      </c>
      <c r="B275" t="str">
        <f>"01505206"</f>
        <v>01505206</v>
      </c>
      <c r="C275" t="s">
        <v>5021</v>
      </c>
      <c r="D275" t="s">
        <v>5022</v>
      </c>
      <c r="E275" t="s">
        <v>5023</v>
      </c>
      <c r="G275" t="s">
        <v>4739</v>
      </c>
      <c r="H275" t="s">
        <v>2761</v>
      </c>
      <c r="J275" t="s">
        <v>4740</v>
      </c>
      <c r="L275" t="s">
        <v>80</v>
      </c>
      <c r="M275" t="s">
        <v>72</v>
      </c>
      <c r="R275" t="s">
        <v>5024</v>
      </c>
      <c r="W275" t="s">
        <v>5023</v>
      </c>
      <c r="X275" t="s">
        <v>546</v>
      </c>
      <c r="Y275" t="s">
        <v>117</v>
      </c>
      <c r="Z275" t="s">
        <v>73</v>
      </c>
      <c r="AA275" t="str">
        <f>"14203-1109"</f>
        <v>14203-1109</v>
      </c>
      <c r="AB275" t="s">
        <v>74</v>
      </c>
      <c r="AC275" t="s">
        <v>75</v>
      </c>
      <c r="AD275" t="s">
        <v>72</v>
      </c>
      <c r="AE275" t="s">
        <v>76</v>
      </c>
      <c r="AF275" t="s">
        <v>3961</v>
      </c>
      <c r="AG275" t="s">
        <v>77</v>
      </c>
    </row>
    <row r="276" spans="1:33" x14ac:dyDescent="0.25">
      <c r="A276" t="str">
        <f>"1538128764"</f>
        <v>1538128764</v>
      </c>
      <c r="B276" t="str">
        <f>"02109713"</f>
        <v>02109713</v>
      </c>
      <c r="C276" t="s">
        <v>5025</v>
      </c>
      <c r="D276" t="s">
        <v>5026</v>
      </c>
      <c r="E276" t="s">
        <v>5027</v>
      </c>
      <c r="G276" t="s">
        <v>4670</v>
      </c>
      <c r="H276" t="s">
        <v>2321</v>
      </c>
      <c r="J276" t="s">
        <v>4671</v>
      </c>
      <c r="L276" t="s">
        <v>80</v>
      </c>
      <c r="M276" t="s">
        <v>72</v>
      </c>
      <c r="R276" t="s">
        <v>5028</v>
      </c>
      <c r="W276" t="s">
        <v>5027</v>
      </c>
      <c r="X276" t="s">
        <v>3692</v>
      </c>
      <c r="Y276" t="s">
        <v>436</v>
      </c>
      <c r="Z276" t="s">
        <v>73</v>
      </c>
      <c r="AA276" t="str">
        <f>"14217-1332"</f>
        <v>14217-1332</v>
      </c>
      <c r="AB276" t="s">
        <v>74</v>
      </c>
      <c r="AC276" t="s">
        <v>75</v>
      </c>
      <c r="AD276" t="s">
        <v>72</v>
      </c>
      <c r="AE276" t="s">
        <v>76</v>
      </c>
      <c r="AF276" t="s">
        <v>3961</v>
      </c>
      <c r="AG276" t="s">
        <v>77</v>
      </c>
    </row>
    <row r="277" spans="1:33" x14ac:dyDescent="0.25">
      <c r="A277" t="str">
        <f>"1437115482"</f>
        <v>1437115482</v>
      </c>
      <c r="B277" t="str">
        <f>"01345179"</f>
        <v>01345179</v>
      </c>
      <c r="C277" t="s">
        <v>5029</v>
      </c>
      <c r="D277" t="s">
        <v>5030</v>
      </c>
      <c r="E277" t="s">
        <v>5031</v>
      </c>
      <c r="G277" t="s">
        <v>5032</v>
      </c>
      <c r="H277" t="s">
        <v>5033</v>
      </c>
      <c r="J277" t="s">
        <v>5034</v>
      </c>
      <c r="L277" t="s">
        <v>80</v>
      </c>
      <c r="M277" t="s">
        <v>72</v>
      </c>
      <c r="R277" t="s">
        <v>5035</v>
      </c>
      <c r="W277" t="s">
        <v>5031</v>
      </c>
      <c r="X277" t="s">
        <v>275</v>
      </c>
      <c r="Y277" t="s">
        <v>117</v>
      </c>
      <c r="Z277" t="s">
        <v>73</v>
      </c>
      <c r="AA277" t="str">
        <f>"14203-1154"</f>
        <v>14203-1154</v>
      </c>
      <c r="AB277" t="s">
        <v>74</v>
      </c>
      <c r="AC277" t="s">
        <v>75</v>
      </c>
      <c r="AD277" t="s">
        <v>72</v>
      </c>
      <c r="AE277" t="s">
        <v>76</v>
      </c>
      <c r="AF277" t="s">
        <v>3961</v>
      </c>
      <c r="AG277" t="s">
        <v>77</v>
      </c>
    </row>
    <row r="278" spans="1:33" x14ac:dyDescent="0.25">
      <c r="A278" t="str">
        <f>"1427042647"</f>
        <v>1427042647</v>
      </c>
      <c r="B278" t="str">
        <f>"00845643"</f>
        <v>00845643</v>
      </c>
      <c r="C278" t="s">
        <v>5036</v>
      </c>
      <c r="D278" t="s">
        <v>805</v>
      </c>
      <c r="E278" t="s">
        <v>806</v>
      </c>
      <c r="G278" t="s">
        <v>5036</v>
      </c>
      <c r="H278" t="s">
        <v>807</v>
      </c>
      <c r="J278" t="s">
        <v>5037</v>
      </c>
      <c r="L278" t="s">
        <v>71</v>
      </c>
      <c r="M278" t="s">
        <v>72</v>
      </c>
      <c r="R278" t="s">
        <v>808</v>
      </c>
      <c r="W278" t="s">
        <v>806</v>
      </c>
      <c r="X278" t="s">
        <v>809</v>
      </c>
      <c r="Y278" t="s">
        <v>810</v>
      </c>
      <c r="Z278" t="s">
        <v>73</v>
      </c>
      <c r="AA278" t="str">
        <f>"14224-1979"</f>
        <v>14224-1979</v>
      </c>
      <c r="AB278" t="s">
        <v>74</v>
      </c>
      <c r="AC278" t="s">
        <v>75</v>
      </c>
      <c r="AD278" t="s">
        <v>72</v>
      </c>
      <c r="AE278" t="s">
        <v>76</v>
      </c>
      <c r="AF278" t="s">
        <v>3974</v>
      </c>
      <c r="AG278" t="s">
        <v>77</v>
      </c>
    </row>
    <row r="279" spans="1:33" x14ac:dyDescent="0.25">
      <c r="A279" t="str">
        <f>"1124268305"</f>
        <v>1124268305</v>
      </c>
      <c r="C279" t="s">
        <v>5038</v>
      </c>
      <c r="G279" t="s">
        <v>4768</v>
      </c>
      <c r="H279" t="s">
        <v>4769</v>
      </c>
      <c r="J279" t="s">
        <v>4770</v>
      </c>
      <c r="K279" t="s">
        <v>89</v>
      </c>
      <c r="L279" t="s">
        <v>92</v>
      </c>
      <c r="M279" t="s">
        <v>72</v>
      </c>
      <c r="R279" t="s">
        <v>5039</v>
      </c>
      <c r="S279" t="s">
        <v>5040</v>
      </c>
      <c r="T279" t="s">
        <v>317</v>
      </c>
      <c r="U279" t="s">
        <v>73</v>
      </c>
      <c r="V279" t="str">
        <f>"142181658"</f>
        <v>142181658</v>
      </c>
      <c r="AC279" t="s">
        <v>75</v>
      </c>
      <c r="AD279" t="s">
        <v>72</v>
      </c>
      <c r="AE279" t="s">
        <v>93</v>
      </c>
      <c r="AF279" t="s">
        <v>4078</v>
      </c>
      <c r="AG279" t="s">
        <v>77</v>
      </c>
    </row>
    <row r="280" spans="1:33" x14ac:dyDescent="0.25">
      <c r="A280" t="str">
        <f>"1861564221"</f>
        <v>1861564221</v>
      </c>
      <c r="B280" t="str">
        <f>"02997726"</f>
        <v>02997726</v>
      </c>
      <c r="C280" t="s">
        <v>5041</v>
      </c>
      <c r="D280" t="s">
        <v>506</v>
      </c>
      <c r="E280" t="s">
        <v>507</v>
      </c>
      <c r="G280" t="s">
        <v>429</v>
      </c>
      <c r="H280" t="s">
        <v>430</v>
      </c>
      <c r="J280" t="s">
        <v>431</v>
      </c>
      <c r="L280" t="s">
        <v>170</v>
      </c>
      <c r="M280" t="s">
        <v>81</v>
      </c>
      <c r="R280" t="s">
        <v>508</v>
      </c>
      <c r="W280" t="s">
        <v>509</v>
      </c>
      <c r="X280" t="s">
        <v>510</v>
      </c>
      <c r="Y280" t="s">
        <v>247</v>
      </c>
      <c r="Z280" t="s">
        <v>73</v>
      </c>
      <c r="AA280" t="str">
        <f>"14227-2728"</f>
        <v>14227-2728</v>
      </c>
      <c r="AB280" t="s">
        <v>88</v>
      </c>
      <c r="AC280" t="s">
        <v>75</v>
      </c>
      <c r="AD280" t="s">
        <v>72</v>
      </c>
      <c r="AE280" t="s">
        <v>76</v>
      </c>
      <c r="AF280" t="s">
        <v>4078</v>
      </c>
      <c r="AG280" t="s">
        <v>77</v>
      </c>
    </row>
    <row r="281" spans="1:33" x14ac:dyDescent="0.25">
      <c r="A281" t="str">
        <f>"1154482859"</f>
        <v>1154482859</v>
      </c>
      <c r="B281" t="str">
        <f>"02505920"</f>
        <v>02505920</v>
      </c>
      <c r="C281" t="s">
        <v>5042</v>
      </c>
      <c r="D281" t="s">
        <v>2125</v>
      </c>
      <c r="E281" t="s">
        <v>2126</v>
      </c>
      <c r="G281" t="s">
        <v>4887</v>
      </c>
      <c r="H281" t="s">
        <v>789</v>
      </c>
      <c r="J281" t="s">
        <v>4888</v>
      </c>
      <c r="L281" t="s">
        <v>79</v>
      </c>
      <c r="M281" t="s">
        <v>72</v>
      </c>
      <c r="R281" t="s">
        <v>2127</v>
      </c>
      <c r="W281" t="s">
        <v>2126</v>
      </c>
      <c r="X281" t="s">
        <v>2128</v>
      </c>
      <c r="Y281" t="s">
        <v>228</v>
      </c>
      <c r="Z281" t="s">
        <v>73</v>
      </c>
      <c r="AA281" t="str">
        <f>"14226"</f>
        <v>14226</v>
      </c>
      <c r="AB281" t="s">
        <v>74</v>
      </c>
      <c r="AC281" t="s">
        <v>75</v>
      </c>
      <c r="AD281" t="s">
        <v>72</v>
      </c>
      <c r="AE281" t="s">
        <v>76</v>
      </c>
      <c r="AF281" t="s">
        <v>3974</v>
      </c>
      <c r="AG281" t="s">
        <v>77</v>
      </c>
    </row>
    <row r="282" spans="1:33" x14ac:dyDescent="0.25">
      <c r="A282" t="str">
        <f>"1043261779"</f>
        <v>1043261779</v>
      </c>
      <c r="B282" t="str">
        <f>"01617252"</f>
        <v>01617252</v>
      </c>
      <c r="C282" t="s">
        <v>5043</v>
      </c>
      <c r="D282" t="s">
        <v>5044</v>
      </c>
      <c r="E282" t="s">
        <v>5045</v>
      </c>
      <c r="G282" t="s">
        <v>3969</v>
      </c>
      <c r="H282" t="s">
        <v>3970</v>
      </c>
      <c r="J282" t="s">
        <v>3971</v>
      </c>
      <c r="L282" t="s">
        <v>79</v>
      </c>
      <c r="M282" t="s">
        <v>72</v>
      </c>
      <c r="R282" t="s">
        <v>5046</v>
      </c>
      <c r="W282" t="s">
        <v>5045</v>
      </c>
      <c r="X282" t="s">
        <v>234</v>
      </c>
      <c r="Y282" t="s">
        <v>117</v>
      </c>
      <c r="Z282" t="s">
        <v>73</v>
      </c>
      <c r="AA282" t="str">
        <f>"14220-2095"</f>
        <v>14220-2095</v>
      </c>
      <c r="AB282" t="s">
        <v>74</v>
      </c>
      <c r="AC282" t="s">
        <v>75</v>
      </c>
      <c r="AD282" t="s">
        <v>72</v>
      </c>
      <c r="AE282" t="s">
        <v>76</v>
      </c>
      <c r="AF282" t="s">
        <v>3974</v>
      </c>
      <c r="AG282" t="s">
        <v>77</v>
      </c>
    </row>
    <row r="283" spans="1:33" x14ac:dyDescent="0.25">
      <c r="A283" t="str">
        <f>"1528034261"</f>
        <v>1528034261</v>
      </c>
      <c r="B283" t="str">
        <f>"02273283"</f>
        <v>02273283</v>
      </c>
      <c r="C283" t="s">
        <v>5047</v>
      </c>
      <c r="D283" t="s">
        <v>1221</v>
      </c>
      <c r="E283" t="s">
        <v>1222</v>
      </c>
      <c r="G283" t="s">
        <v>5048</v>
      </c>
      <c r="H283" t="s">
        <v>1052</v>
      </c>
      <c r="J283" t="s">
        <v>5049</v>
      </c>
      <c r="L283" t="s">
        <v>80</v>
      </c>
      <c r="M283" t="s">
        <v>72</v>
      </c>
      <c r="R283" t="s">
        <v>1223</v>
      </c>
      <c r="W283" t="s">
        <v>1222</v>
      </c>
      <c r="X283" t="s">
        <v>642</v>
      </c>
      <c r="Y283" t="s">
        <v>117</v>
      </c>
      <c r="Z283" t="s">
        <v>73</v>
      </c>
      <c r="AA283" t="str">
        <f>"14223-2819"</f>
        <v>14223-2819</v>
      </c>
      <c r="AB283" t="s">
        <v>74</v>
      </c>
      <c r="AC283" t="s">
        <v>75</v>
      </c>
      <c r="AD283" t="s">
        <v>72</v>
      </c>
      <c r="AE283" t="s">
        <v>76</v>
      </c>
      <c r="AF283" t="s">
        <v>3961</v>
      </c>
      <c r="AG283" t="s">
        <v>77</v>
      </c>
    </row>
    <row r="284" spans="1:33" x14ac:dyDescent="0.25">
      <c r="A284" t="str">
        <f>"1306898762"</f>
        <v>1306898762</v>
      </c>
      <c r="B284" t="str">
        <f>"02862453"</f>
        <v>02862453</v>
      </c>
      <c r="C284" t="s">
        <v>5050</v>
      </c>
      <c r="D284" t="s">
        <v>2731</v>
      </c>
      <c r="E284" t="s">
        <v>2732</v>
      </c>
      <c r="G284" t="s">
        <v>5051</v>
      </c>
      <c r="H284" t="s">
        <v>2733</v>
      </c>
      <c r="J284" t="s">
        <v>5052</v>
      </c>
      <c r="L284" t="s">
        <v>71</v>
      </c>
      <c r="M284" t="s">
        <v>72</v>
      </c>
      <c r="R284" t="s">
        <v>2734</v>
      </c>
      <c r="W284" t="s">
        <v>2735</v>
      </c>
      <c r="X284" t="s">
        <v>704</v>
      </c>
      <c r="Y284" t="s">
        <v>221</v>
      </c>
      <c r="Z284" t="s">
        <v>73</v>
      </c>
      <c r="AA284" t="str">
        <f>"14221-8214"</f>
        <v>14221-8214</v>
      </c>
      <c r="AB284" t="s">
        <v>74</v>
      </c>
      <c r="AC284" t="s">
        <v>75</v>
      </c>
      <c r="AD284" t="s">
        <v>72</v>
      </c>
      <c r="AE284" t="s">
        <v>76</v>
      </c>
      <c r="AF284" t="s">
        <v>3974</v>
      </c>
      <c r="AG284" t="s">
        <v>77</v>
      </c>
    </row>
    <row r="285" spans="1:33" x14ac:dyDescent="0.25">
      <c r="A285" t="str">
        <f>"1003881400"</f>
        <v>1003881400</v>
      </c>
      <c r="B285" t="str">
        <f>"02586029"</f>
        <v>02586029</v>
      </c>
      <c r="C285" t="s">
        <v>5053</v>
      </c>
      <c r="D285" t="s">
        <v>2706</v>
      </c>
      <c r="E285" t="s">
        <v>2707</v>
      </c>
      <c r="G285" t="s">
        <v>4047</v>
      </c>
      <c r="H285" t="s">
        <v>634</v>
      </c>
      <c r="J285" t="s">
        <v>4048</v>
      </c>
      <c r="L285" t="s">
        <v>80</v>
      </c>
      <c r="M285" t="s">
        <v>72</v>
      </c>
      <c r="R285" t="s">
        <v>2708</v>
      </c>
      <c r="W285" t="s">
        <v>2707</v>
      </c>
      <c r="X285" t="s">
        <v>2709</v>
      </c>
      <c r="Y285" t="s">
        <v>354</v>
      </c>
      <c r="Z285" t="s">
        <v>73</v>
      </c>
      <c r="AA285" t="str">
        <f>"14787-0010"</f>
        <v>14787-0010</v>
      </c>
      <c r="AB285" t="s">
        <v>74</v>
      </c>
      <c r="AC285" t="s">
        <v>75</v>
      </c>
      <c r="AD285" t="s">
        <v>72</v>
      </c>
      <c r="AE285" t="s">
        <v>76</v>
      </c>
      <c r="AF285" t="s">
        <v>4049</v>
      </c>
      <c r="AG285" t="s">
        <v>77</v>
      </c>
    </row>
    <row r="286" spans="1:33" x14ac:dyDescent="0.25">
      <c r="A286" t="str">
        <f>"1609869783"</f>
        <v>1609869783</v>
      </c>
      <c r="B286" t="str">
        <f>"01461518"</f>
        <v>01461518</v>
      </c>
      <c r="C286" t="s">
        <v>5054</v>
      </c>
      <c r="D286" t="s">
        <v>1191</v>
      </c>
      <c r="E286" t="s">
        <v>1192</v>
      </c>
      <c r="G286" t="s">
        <v>5055</v>
      </c>
      <c r="H286" t="s">
        <v>5056</v>
      </c>
      <c r="J286" t="s">
        <v>5057</v>
      </c>
      <c r="L286" t="s">
        <v>79</v>
      </c>
      <c r="M286" t="s">
        <v>72</v>
      </c>
      <c r="R286" t="s">
        <v>1193</v>
      </c>
      <c r="W286" t="s">
        <v>1192</v>
      </c>
      <c r="X286" t="s">
        <v>1194</v>
      </c>
      <c r="Y286" t="s">
        <v>237</v>
      </c>
      <c r="Z286" t="s">
        <v>73</v>
      </c>
      <c r="AA286" t="str">
        <f>"14224-2646"</f>
        <v>14224-2646</v>
      </c>
      <c r="AB286" t="s">
        <v>74</v>
      </c>
      <c r="AC286" t="s">
        <v>75</v>
      </c>
      <c r="AD286" t="s">
        <v>72</v>
      </c>
      <c r="AE286" t="s">
        <v>76</v>
      </c>
      <c r="AF286" t="s">
        <v>3974</v>
      </c>
      <c r="AG286" t="s">
        <v>77</v>
      </c>
    </row>
    <row r="287" spans="1:33" x14ac:dyDescent="0.25">
      <c r="A287" t="str">
        <f>"1043389620"</f>
        <v>1043389620</v>
      </c>
      <c r="B287" t="str">
        <f>"01119539"</f>
        <v>01119539</v>
      </c>
      <c r="C287" t="s">
        <v>5058</v>
      </c>
      <c r="D287" t="s">
        <v>5059</v>
      </c>
      <c r="E287" t="s">
        <v>5060</v>
      </c>
      <c r="G287" t="s">
        <v>5061</v>
      </c>
      <c r="H287" t="s">
        <v>5062</v>
      </c>
      <c r="J287" t="s">
        <v>5063</v>
      </c>
      <c r="L287" t="s">
        <v>80</v>
      </c>
      <c r="M287" t="s">
        <v>72</v>
      </c>
      <c r="R287" t="s">
        <v>5064</v>
      </c>
      <c r="W287" t="s">
        <v>5065</v>
      </c>
      <c r="X287" t="s">
        <v>1320</v>
      </c>
      <c r="Y287" t="s">
        <v>117</v>
      </c>
      <c r="Z287" t="s">
        <v>73</v>
      </c>
      <c r="AA287" t="str">
        <f>"14215-1145"</f>
        <v>14215-1145</v>
      </c>
      <c r="AB287" t="s">
        <v>74</v>
      </c>
      <c r="AC287" t="s">
        <v>75</v>
      </c>
      <c r="AD287" t="s">
        <v>72</v>
      </c>
      <c r="AE287" t="s">
        <v>76</v>
      </c>
      <c r="AF287" t="s">
        <v>3961</v>
      </c>
      <c r="AG287" t="s">
        <v>77</v>
      </c>
    </row>
    <row r="288" spans="1:33" x14ac:dyDescent="0.25">
      <c r="A288" t="str">
        <f>"1679667463"</f>
        <v>1679667463</v>
      </c>
      <c r="B288" t="str">
        <f>"02962105"</f>
        <v>02962105</v>
      </c>
      <c r="C288" t="s">
        <v>5066</v>
      </c>
      <c r="D288" t="s">
        <v>5067</v>
      </c>
      <c r="E288" t="s">
        <v>159</v>
      </c>
      <c r="G288" t="s">
        <v>5068</v>
      </c>
      <c r="H288" t="s">
        <v>5069</v>
      </c>
      <c r="J288" t="s">
        <v>5070</v>
      </c>
      <c r="L288" t="s">
        <v>79</v>
      </c>
      <c r="M288" t="s">
        <v>72</v>
      </c>
      <c r="R288" t="s">
        <v>160</v>
      </c>
      <c r="W288" t="s">
        <v>5071</v>
      </c>
      <c r="X288" t="s">
        <v>5072</v>
      </c>
      <c r="Y288" t="s">
        <v>209</v>
      </c>
      <c r="Z288" t="s">
        <v>73</v>
      </c>
      <c r="AA288" t="str">
        <f>"14304-3084"</f>
        <v>14304-3084</v>
      </c>
      <c r="AB288" t="s">
        <v>74</v>
      </c>
      <c r="AC288" t="s">
        <v>75</v>
      </c>
      <c r="AD288" t="s">
        <v>72</v>
      </c>
      <c r="AE288" t="s">
        <v>76</v>
      </c>
      <c r="AF288" t="s">
        <v>3974</v>
      </c>
      <c r="AG288" t="s">
        <v>77</v>
      </c>
    </row>
    <row r="289" spans="1:33" x14ac:dyDescent="0.25">
      <c r="A289" t="str">
        <f>"1457317752"</f>
        <v>1457317752</v>
      </c>
      <c r="B289" t="str">
        <f>"01354503"</f>
        <v>01354503</v>
      </c>
      <c r="C289" t="s">
        <v>5073</v>
      </c>
      <c r="D289" t="s">
        <v>5074</v>
      </c>
      <c r="E289" t="s">
        <v>5075</v>
      </c>
      <c r="G289" t="s">
        <v>5076</v>
      </c>
      <c r="H289" t="s">
        <v>5077</v>
      </c>
      <c r="J289" t="s">
        <v>5078</v>
      </c>
      <c r="L289" t="s">
        <v>79</v>
      </c>
      <c r="M289" t="s">
        <v>72</v>
      </c>
      <c r="R289" t="s">
        <v>5079</v>
      </c>
      <c r="W289" t="s">
        <v>5075</v>
      </c>
      <c r="X289" t="s">
        <v>5080</v>
      </c>
      <c r="Y289" t="s">
        <v>117</v>
      </c>
      <c r="Z289" t="s">
        <v>73</v>
      </c>
      <c r="AA289" t="str">
        <f>"14203-1126"</f>
        <v>14203-1126</v>
      </c>
      <c r="AB289" t="s">
        <v>74</v>
      </c>
      <c r="AC289" t="s">
        <v>75</v>
      </c>
      <c r="AD289" t="s">
        <v>72</v>
      </c>
      <c r="AE289" t="s">
        <v>76</v>
      </c>
      <c r="AF289" t="s">
        <v>3974</v>
      </c>
      <c r="AG289" t="s">
        <v>77</v>
      </c>
    </row>
    <row r="290" spans="1:33" x14ac:dyDescent="0.25">
      <c r="A290" t="str">
        <f>"1033183231"</f>
        <v>1033183231</v>
      </c>
      <c r="B290" t="str">
        <f>"02273361"</f>
        <v>02273361</v>
      </c>
      <c r="C290" t="s">
        <v>5081</v>
      </c>
      <c r="D290" t="s">
        <v>2973</v>
      </c>
      <c r="E290" t="s">
        <v>2974</v>
      </c>
      <c r="G290" t="s">
        <v>5082</v>
      </c>
      <c r="H290" t="s">
        <v>1023</v>
      </c>
      <c r="J290" t="s">
        <v>5083</v>
      </c>
      <c r="L290" t="s">
        <v>79</v>
      </c>
      <c r="M290" t="s">
        <v>72</v>
      </c>
      <c r="R290" t="s">
        <v>2975</v>
      </c>
      <c r="W290" t="s">
        <v>2974</v>
      </c>
      <c r="X290" t="s">
        <v>2976</v>
      </c>
      <c r="Y290" t="s">
        <v>209</v>
      </c>
      <c r="Z290" t="s">
        <v>73</v>
      </c>
      <c r="AA290" t="str">
        <f>"14302"</f>
        <v>14302</v>
      </c>
      <c r="AB290" t="s">
        <v>74</v>
      </c>
      <c r="AC290" t="s">
        <v>75</v>
      </c>
      <c r="AD290" t="s">
        <v>72</v>
      </c>
      <c r="AE290" t="s">
        <v>76</v>
      </c>
      <c r="AF290" t="s">
        <v>3974</v>
      </c>
      <c r="AG290" t="s">
        <v>77</v>
      </c>
    </row>
    <row r="291" spans="1:33" x14ac:dyDescent="0.25">
      <c r="A291" t="str">
        <f>"1528074341"</f>
        <v>1528074341</v>
      </c>
      <c r="B291" t="str">
        <f>"02941399"</f>
        <v>02941399</v>
      </c>
      <c r="C291" t="s">
        <v>5084</v>
      </c>
      <c r="D291" t="s">
        <v>1239</v>
      </c>
      <c r="E291" t="s">
        <v>1240</v>
      </c>
      <c r="G291" t="s">
        <v>5085</v>
      </c>
      <c r="H291" t="s">
        <v>789</v>
      </c>
      <c r="J291" t="s">
        <v>4888</v>
      </c>
      <c r="L291" t="s">
        <v>79</v>
      </c>
      <c r="M291" t="s">
        <v>72</v>
      </c>
      <c r="R291" t="s">
        <v>1241</v>
      </c>
      <c r="W291" t="s">
        <v>1242</v>
      </c>
      <c r="X291" t="s">
        <v>174</v>
      </c>
      <c r="Y291" t="s">
        <v>111</v>
      </c>
      <c r="Z291" t="s">
        <v>73</v>
      </c>
      <c r="AA291" t="str">
        <f>"14642-0001"</f>
        <v>14642-0001</v>
      </c>
      <c r="AB291" t="s">
        <v>74</v>
      </c>
      <c r="AC291" t="s">
        <v>75</v>
      </c>
      <c r="AD291" t="s">
        <v>72</v>
      </c>
      <c r="AE291" t="s">
        <v>76</v>
      </c>
      <c r="AF291" t="s">
        <v>3974</v>
      </c>
      <c r="AG291" t="s">
        <v>77</v>
      </c>
    </row>
    <row r="292" spans="1:33" x14ac:dyDescent="0.25">
      <c r="A292" t="str">
        <f>"1811969926"</f>
        <v>1811969926</v>
      </c>
      <c r="B292" t="str">
        <f>"02595971"</f>
        <v>02595971</v>
      </c>
      <c r="C292" t="s">
        <v>5086</v>
      </c>
      <c r="D292" t="s">
        <v>1740</v>
      </c>
      <c r="E292" t="s">
        <v>1741</v>
      </c>
      <c r="G292" t="s">
        <v>5086</v>
      </c>
      <c r="H292" t="s">
        <v>5087</v>
      </c>
      <c r="J292" t="s">
        <v>5088</v>
      </c>
      <c r="L292" t="s">
        <v>79</v>
      </c>
      <c r="M292" t="s">
        <v>72</v>
      </c>
      <c r="R292" t="s">
        <v>1742</v>
      </c>
      <c r="W292" t="s">
        <v>1743</v>
      </c>
      <c r="X292" t="s">
        <v>310</v>
      </c>
      <c r="Y292" t="s">
        <v>307</v>
      </c>
      <c r="Z292" t="s">
        <v>73</v>
      </c>
      <c r="AA292" t="str">
        <f>"14020-1631"</f>
        <v>14020-1631</v>
      </c>
      <c r="AB292" t="s">
        <v>74</v>
      </c>
      <c r="AC292" t="s">
        <v>75</v>
      </c>
      <c r="AD292" t="s">
        <v>72</v>
      </c>
      <c r="AE292" t="s">
        <v>76</v>
      </c>
      <c r="AF292" t="s">
        <v>3974</v>
      </c>
      <c r="AG292" t="s">
        <v>77</v>
      </c>
    </row>
    <row r="293" spans="1:33" x14ac:dyDescent="0.25">
      <c r="A293" t="str">
        <f>"1992731616"</f>
        <v>1992731616</v>
      </c>
      <c r="B293" t="str">
        <f>"01610806"</f>
        <v>01610806</v>
      </c>
      <c r="C293" t="s">
        <v>5089</v>
      </c>
      <c r="D293" t="s">
        <v>3751</v>
      </c>
      <c r="E293" t="s">
        <v>3752</v>
      </c>
      <c r="G293" t="s">
        <v>4110</v>
      </c>
      <c r="H293" t="s">
        <v>1304</v>
      </c>
      <c r="J293" t="s">
        <v>4111</v>
      </c>
      <c r="L293" t="s">
        <v>79</v>
      </c>
      <c r="M293" t="s">
        <v>72</v>
      </c>
      <c r="R293" t="s">
        <v>3753</v>
      </c>
      <c r="W293" t="s">
        <v>3752</v>
      </c>
      <c r="X293" t="s">
        <v>295</v>
      </c>
      <c r="Y293" t="s">
        <v>117</v>
      </c>
      <c r="Z293" t="s">
        <v>73</v>
      </c>
      <c r="AA293" t="str">
        <f>"14215-3021"</f>
        <v>14215-3021</v>
      </c>
      <c r="AB293" t="s">
        <v>74</v>
      </c>
      <c r="AC293" t="s">
        <v>75</v>
      </c>
      <c r="AD293" t="s">
        <v>72</v>
      </c>
      <c r="AE293" t="s">
        <v>76</v>
      </c>
      <c r="AG293" t="s">
        <v>77</v>
      </c>
    </row>
    <row r="294" spans="1:33" x14ac:dyDescent="0.25">
      <c r="A294" t="str">
        <f>"1548308463"</f>
        <v>1548308463</v>
      </c>
      <c r="B294" t="str">
        <f>"03244671"</f>
        <v>03244671</v>
      </c>
      <c r="C294" t="s">
        <v>5090</v>
      </c>
      <c r="D294" t="s">
        <v>754</v>
      </c>
      <c r="E294" t="s">
        <v>755</v>
      </c>
      <c r="G294" t="s">
        <v>4017</v>
      </c>
      <c r="H294" t="s">
        <v>597</v>
      </c>
      <c r="J294" t="s">
        <v>4018</v>
      </c>
      <c r="L294" t="s">
        <v>79</v>
      </c>
      <c r="M294" t="s">
        <v>72</v>
      </c>
      <c r="R294" t="s">
        <v>755</v>
      </c>
      <c r="W294" t="s">
        <v>755</v>
      </c>
      <c r="X294" t="s">
        <v>756</v>
      </c>
      <c r="Y294" t="s">
        <v>247</v>
      </c>
      <c r="Z294" t="s">
        <v>73</v>
      </c>
      <c r="AA294" t="str">
        <f>"14227-1919"</f>
        <v>14227-1919</v>
      </c>
      <c r="AB294" t="s">
        <v>74</v>
      </c>
      <c r="AC294" t="s">
        <v>75</v>
      </c>
      <c r="AD294" t="s">
        <v>72</v>
      </c>
      <c r="AE294" t="s">
        <v>76</v>
      </c>
      <c r="AF294" t="s">
        <v>3974</v>
      </c>
      <c r="AG294" t="s">
        <v>77</v>
      </c>
    </row>
    <row r="295" spans="1:33" x14ac:dyDescent="0.25">
      <c r="B295" t="str">
        <f>"02703419"</f>
        <v>02703419</v>
      </c>
      <c r="C295" t="s">
        <v>5091</v>
      </c>
      <c r="D295" t="s">
        <v>5092</v>
      </c>
      <c r="E295" t="s">
        <v>5093</v>
      </c>
      <c r="F295">
        <v>160786061</v>
      </c>
      <c r="G295" t="s">
        <v>5094</v>
      </c>
      <c r="H295" t="s">
        <v>5095</v>
      </c>
      <c r="J295" t="s">
        <v>5096</v>
      </c>
      <c r="L295" t="s">
        <v>35</v>
      </c>
      <c r="M295" t="s">
        <v>81</v>
      </c>
      <c r="W295" t="s">
        <v>5093</v>
      </c>
      <c r="X295" t="s">
        <v>103</v>
      </c>
      <c r="Y295" t="s">
        <v>209</v>
      </c>
      <c r="Z295" t="s">
        <v>73</v>
      </c>
      <c r="AA295" t="str">
        <f>"14304-1114"</f>
        <v>14304-1114</v>
      </c>
      <c r="AB295" t="s">
        <v>88</v>
      </c>
      <c r="AC295" t="s">
        <v>75</v>
      </c>
      <c r="AD295" t="s">
        <v>72</v>
      </c>
      <c r="AE295" t="s">
        <v>76</v>
      </c>
      <c r="AF295" t="s">
        <v>4059</v>
      </c>
      <c r="AG295" t="s">
        <v>77</v>
      </c>
    </row>
    <row r="296" spans="1:33" x14ac:dyDescent="0.25">
      <c r="A296" t="str">
        <f>"1073670519"</f>
        <v>1073670519</v>
      </c>
      <c r="B296" t="str">
        <f>"00476908"</f>
        <v>00476908</v>
      </c>
      <c r="C296" t="s">
        <v>5097</v>
      </c>
      <c r="D296" t="s">
        <v>473</v>
      </c>
      <c r="E296" t="s">
        <v>474</v>
      </c>
      <c r="G296" t="s">
        <v>475</v>
      </c>
      <c r="H296" t="s">
        <v>5098</v>
      </c>
      <c r="J296" t="s">
        <v>5099</v>
      </c>
      <c r="L296" t="s">
        <v>10</v>
      </c>
      <c r="M296" t="s">
        <v>72</v>
      </c>
      <c r="R296" t="s">
        <v>94</v>
      </c>
      <c r="W296" t="s">
        <v>474</v>
      </c>
      <c r="X296" t="s">
        <v>123</v>
      </c>
      <c r="Y296" t="s">
        <v>237</v>
      </c>
      <c r="Z296" t="s">
        <v>73</v>
      </c>
      <c r="AA296" t="str">
        <f>"14224-3602"</f>
        <v>14224-3602</v>
      </c>
      <c r="AB296" t="s">
        <v>86</v>
      </c>
      <c r="AC296" t="s">
        <v>75</v>
      </c>
      <c r="AD296" t="s">
        <v>72</v>
      </c>
      <c r="AE296" t="s">
        <v>76</v>
      </c>
      <c r="AF296" t="s">
        <v>4879</v>
      </c>
      <c r="AG296" t="s">
        <v>77</v>
      </c>
    </row>
    <row r="297" spans="1:33" x14ac:dyDescent="0.25">
      <c r="A297" t="str">
        <f>"1831239508"</f>
        <v>1831239508</v>
      </c>
      <c r="B297" t="str">
        <f>"02851494"</f>
        <v>02851494</v>
      </c>
      <c r="C297" t="s">
        <v>5100</v>
      </c>
      <c r="D297" t="s">
        <v>5101</v>
      </c>
      <c r="E297" t="s">
        <v>5102</v>
      </c>
      <c r="G297" t="s">
        <v>4066</v>
      </c>
      <c r="H297" t="s">
        <v>4067</v>
      </c>
      <c r="J297" t="s">
        <v>4068</v>
      </c>
      <c r="L297" t="s">
        <v>71</v>
      </c>
      <c r="M297" t="s">
        <v>72</v>
      </c>
      <c r="R297" t="s">
        <v>5103</v>
      </c>
      <c r="W297" t="s">
        <v>5102</v>
      </c>
      <c r="X297" t="s">
        <v>164</v>
      </c>
      <c r="Y297" t="s">
        <v>117</v>
      </c>
      <c r="Z297" t="s">
        <v>73</v>
      </c>
      <c r="AA297" t="str">
        <f>"14220-2039"</f>
        <v>14220-2039</v>
      </c>
      <c r="AB297" t="s">
        <v>74</v>
      </c>
      <c r="AC297" t="s">
        <v>75</v>
      </c>
      <c r="AD297" t="s">
        <v>72</v>
      </c>
      <c r="AE297" t="s">
        <v>76</v>
      </c>
      <c r="AF297" t="s">
        <v>3974</v>
      </c>
      <c r="AG297" t="s">
        <v>77</v>
      </c>
    </row>
    <row r="298" spans="1:33" x14ac:dyDescent="0.25">
      <c r="A298" t="str">
        <f>"1215954102"</f>
        <v>1215954102</v>
      </c>
      <c r="B298" t="str">
        <f>"02376736"</f>
        <v>02376736</v>
      </c>
      <c r="C298" t="s">
        <v>5104</v>
      </c>
      <c r="D298" t="s">
        <v>2689</v>
      </c>
      <c r="E298" t="s">
        <v>2690</v>
      </c>
      <c r="G298" t="s">
        <v>4786</v>
      </c>
      <c r="H298" t="s">
        <v>1728</v>
      </c>
      <c r="J298" t="s">
        <v>4787</v>
      </c>
      <c r="L298" t="s">
        <v>79</v>
      </c>
      <c r="M298" t="s">
        <v>72</v>
      </c>
      <c r="R298" t="s">
        <v>2691</v>
      </c>
      <c r="W298" t="s">
        <v>2692</v>
      </c>
      <c r="X298" t="s">
        <v>2693</v>
      </c>
      <c r="Y298" t="s">
        <v>117</v>
      </c>
      <c r="Z298" t="s">
        <v>73</v>
      </c>
      <c r="AA298" t="str">
        <f>"14209-2256"</f>
        <v>14209-2256</v>
      </c>
      <c r="AB298" t="s">
        <v>74</v>
      </c>
      <c r="AC298" t="s">
        <v>75</v>
      </c>
      <c r="AD298" t="s">
        <v>72</v>
      </c>
      <c r="AE298" t="s">
        <v>76</v>
      </c>
      <c r="AF298" t="s">
        <v>3974</v>
      </c>
      <c r="AG298" t="s">
        <v>77</v>
      </c>
    </row>
    <row r="299" spans="1:33" x14ac:dyDescent="0.25">
      <c r="A299" t="str">
        <f>"1063549889"</f>
        <v>1063549889</v>
      </c>
      <c r="B299" t="str">
        <f>"01058759"</f>
        <v>01058759</v>
      </c>
      <c r="C299" t="s">
        <v>5105</v>
      </c>
      <c r="D299" t="s">
        <v>3848</v>
      </c>
      <c r="E299" t="s">
        <v>3849</v>
      </c>
      <c r="G299" t="s">
        <v>5106</v>
      </c>
      <c r="H299" t="s">
        <v>5107</v>
      </c>
      <c r="J299" t="s">
        <v>3850</v>
      </c>
      <c r="L299" t="s">
        <v>15</v>
      </c>
      <c r="M299" t="s">
        <v>81</v>
      </c>
      <c r="R299" t="s">
        <v>3851</v>
      </c>
      <c r="W299" t="s">
        <v>3849</v>
      </c>
      <c r="X299" t="s">
        <v>3852</v>
      </c>
      <c r="Y299" t="s">
        <v>206</v>
      </c>
      <c r="Z299" t="s">
        <v>73</v>
      </c>
      <c r="AA299" t="str">
        <f>"14048-1479"</f>
        <v>14048-1479</v>
      </c>
      <c r="AB299" t="s">
        <v>98</v>
      </c>
      <c r="AC299" t="s">
        <v>75</v>
      </c>
      <c r="AD299" t="s">
        <v>72</v>
      </c>
      <c r="AE299" t="s">
        <v>76</v>
      </c>
      <c r="AF299" t="s">
        <v>4078</v>
      </c>
      <c r="AG299" t="s">
        <v>77</v>
      </c>
    </row>
    <row r="300" spans="1:33" x14ac:dyDescent="0.25">
      <c r="A300" t="str">
        <f>"1508993320"</f>
        <v>1508993320</v>
      </c>
      <c r="B300" t="str">
        <f>"01058777"</f>
        <v>01058777</v>
      </c>
      <c r="C300" t="s">
        <v>5108</v>
      </c>
      <c r="D300" t="s">
        <v>2664</v>
      </c>
      <c r="E300" t="s">
        <v>2665</v>
      </c>
      <c r="G300" t="s">
        <v>5106</v>
      </c>
      <c r="H300" t="s">
        <v>5107</v>
      </c>
      <c r="J300" t="s">
        <v>3850</v>
      </c>
      <c r="L300" t="s">
        <v>15</v>
      </c>
      <c r="M300" t="s">
        <v>81</v>
      </c>
      <c r="R300" t="s">
        <v>2663</v>
      </c>
      <c r="W300" t="s">
        <v>2665</v>
      </c>
      <c r="X300" t="s">
        <v>2666</v>
      </c>
      <c r="Y300" t="s">
        <v>2667</v>
      </c>
      <c r="Z300" t="s">
        <v>73</v>
      </c>
      <c r="AA300" t="str">
        <f>"14057-1205"</f>
        <v>14057-1205</v>
      </c>
      <c r="AB300" t="s">
        <v>98</v>
      </c>
      <c r="AC300" t="s">
        <v>75</v>
      </c>
      <c r="AD300" t="s">
        <v>72</v>
      </c>
      <c r="AE300" t="s">
        <v>76</v>
      </c>
      <c r="AF300" t="s">
        <v>4078</v>
      </c>
      <c r="AG300" t="s">
        <v>77</v>
      </c>
    </row>
    <row r="301" spans="1:33" x14ac:dyDescent="0.25">
      <c r="C301" t="s">
        <v>5109</v>
      </c>
      <c r="G301" t="s">
        <v>5110</v>
      </c>
      <c r="H301" t="s">
        <v>5111</v>
      </c>
      <c r="J301" t="s">
        <v>5112</v>
      </c>
      <c r="K301" t="s">
        <v>89</v>
      </c>
      <c r="L301" t="s">
        <v>90</v>
      </c>
      <c r="M301" t="s">
        <v>72</v>
      </c>
      <c r="N301" t="s">
        <v>5113</v>
      </c>
      <c r="O301" t="s">
        <v>5114</v>
      </c>
      <c r="P301" t="s">
        <v>73</v>
      </c>
      <c r="Q301" t="str">
        <f>"14127"</f>
        <v>14127</v>
      </c>
      <c r="AC301" t="s">
        <v>75</v>
      </c>
      <c r="AD301" t="s">
        <v>72</v>
      </c>
      <c r="AE301" t="s">
        <v>91</v>
      </c>
      <c r="AF301" t="s">
        <v>4078</v>
      </c>
      <c r="AG301" t="s">
        <v>77</v>
      </c>
    </row>
    <row r="302" spans="1:33" x14ac:dyDescent="0.25">
      <c r="A302" t="str">
        <f>"1518094333"</f>
        <v>1518094333</v>
      </c>
      <c r="B302" t="str">
        <f>"00764163"</f>
        <v>00764163</v>
      </c>
      <c r="C302" t="s">
        <v>5115</v>
      </c>
      <c r="D302" t="s">
        <v>1676</v>
      </c>
      <c r="E302" t="s">
        <v>1677</v>
      </c>
      <c r="G302" t="s">
        <v>5116</v>
      </c>
      <c r="H302" t="s">
        <v>5117</v>
      </c>
      <c r="J302" t="s">
        <v>5118</v>
      </c>
      <c r="L302" t="s">
        <v>15</v>
      </c>
      <c r="M302" t="s">
        <v>81</v>
      </c>
      <c r="R302" t="s">
        <v>1675</v>
      </c>
      <c r="W302" t="s">
        <v>1677</v>
      </c>
      <c r="X302" t="s">
        <v>1678</v>
      </c>
      <c r="Y302" t="s">
        <v>326</v>
      </c>
      <c r="Z302" t="s">
        <v>73</v>
      </c>
      <c r="AA302" t="str">
        <f>"14127-3126"</f>
        <v>14127-3126</v>
      </c>
      <c r="AB302" t="s">
        <v>98</v>
      </c>
      <c r="AC302" t="s">
        <v>75</v>
      </c>
      <c r="AD302" t="s">
        <v>72</v>
      </c>
      <c r="AE302" t="s">
        <v>76</v>
      </c>
      <c r="AF302" t="s">
        <v>4078</v>
      </c>
      <c r="AG302" t="s">
        <v>77</v>
      </c>
    </row>
    <row r="303" spans="1:33" x14ac:dyDescent="0.25">
      <c r="A303" t="str">
        <f>"1144357963"</f>
        <v>1144357963</v>
      </c>
      <c r="B303" t="str">
        <f>"01660902"</f>
        <v>01660902</v>
      </c>
      <c r="C303" t="s">
        <v>5119</v>
      </c>
      <c r="D303" t="s">
        <v>3601</v>
      </c>
      <c r="E303" t="s">
        <v>3602</v>
      </c>
      <c r="G303" t="s">
        <v>3603</v>
      </c>
      <c r="H303" t="s">
        <v>3604</v>
      </c>
      <c r="J303" t="s">
        <v>5120</v>
      </c>
      <c r="L303" t="s">
        <v>15</v>
      </c>
      <c r="M303" t="s">
        <v>81</v>
      </c>
      <c r="R303" t="s">
        <v>3605</v>
      </c>
      <c r="W303" t="s">
        <v>3602</v>
      </c>
      <c r="X303" t="s">
        <v>3606</v>
      </c>
      <c r="Y303" t="s">
        <v>378</v>
      </c>
      <c r="Z303" t="s">
        <v>73</v>
      </c>
      <c r="AA303" t="str">
        <f>"14779-1424"</f>
        <v>14779-1424</v>
      </c>
      <c r="AB303" t="s">
        <v>98</v>
      </c>
      <c r="AC303" t="s">
        <v>75</v>
      </c>
      <c r="AD303" t="s">
        <v>72</v>
      </c>
      <c r="AE303" t="s">
        <v>76</v>
      </c>
      <c r="AF303" t="s">
        <v>4078</v>
      </c>
      <c r="AG303" t="s">
        <v>77</v>
      </c>
    </row>
    <row r="304" spans="1:33" x14ac:dyDescent="0.25">
      <c r="A304" t="str">
        <f>"1881721611"</f>
        <v>1881721611</v>
      </c>
      <c r="B304" t="str">
        <f>"02901531"</f>
        <v>02901531</v>
      </c>
      <c r="C304" t="s">
        <v>5121</v>
      </c>
      <c r="D304" t="s">
        <v>3546</v>
      </c>
      <c r="E304" t="s">
        <v>3547</v>
      </c>
      <c r="G304" t="s">
        <v>5122</v>
      </c>
      <c r="H304" t="s">
        <v>3599</v>
      </c>
      <c r="J304" t="s">
        <v>3600</v>
      </c>
      <c r="L304" t="s">
        <v>15</v>
      </c>
      <c r="M304" t="s">
        <v>81</v>
      </c>
      <c r="R304" t="s">
        <v>3545</v>
      </c>
      <c r="W304" t="s">
        <v>3547</v>
      </c>
      <c r="X304" t="s">
        <v>3548</v>
      </c>
      <c r="Y304" t="s">
        <v>1361</v>
      </c>
      <c r="Z304" t="s">
        <v>73</v>
      </c>
      <c r="AA304" t="str">
        <f>"14706-1138"</f>
        <v>14706-1138</v>
      </c>
      <c r="AB304" t="s">
        <v>98</v>
      </c>
      <c r="AC304" t="s">
        <v>75</v>
      </c>
      <c r="AD304" t="s">
        <v>72</v>
      </c>
      <c r="AE304" t="s">
        <v>76</v>
      </c>
      <c r="AF304" t="s">
        <v>4078</v>
      </c>
      <c r="AG304" t="s">
        <v>77</v>
      </c>
    </row>
    <row r="305" spans="1:33" x14ac:dyDescent="0.25">
      <c r="A305" t="str">
        <f>"1235266057"</f>
        <v>1235266057</v>
      </c>
      <c r="B305" t="str">
        <f>"01561311"</f>
        <v>01561311</v>
      </c>
      <c r="C305" t="s">
        <v>5123</v>
      </c>
      <c r="D305" t="s">
        <v>3853</v>
      </c>
      <c r="E305" t="s">
        <v>3854</v>
      </c>
      <c r="G305" t="s">
        <v>5124</v>
      </c>
      <c r="H305" t="s">
        <v>5125</v>
      </c>
      <c r="J305" t="s">
        <v>5126</v>
      </c>
      <c r="L305" t="s">
        <v>15</v>
      </c>
      <c r="M305" t="s">
        <v>81</v>
      </c>
      <c r="R305" t="s">
        <v>3855</v>
      </c>
      <c r="W305" t="s">
        <v>3854</v>
      </c>
      <c r="X305" t="s">
        <v>3856</v>
      </c>
      <c r="Y305" t="s">
        <v>1217</v>
      </c>
      <c r="Z305" t="s">
        <v>73</v>
      </c>
      <c r="AA305" t="str">
        <f>"14744-8706"</f>
        <v>14744-8706</v>
      </c>
      <c r="AB305" t="s">
        <v>98</v>
      </c>
      <c r="AC305" t="s">
        <v>75</v>
      </c>
      <c r="AD305" t="s">
        <v>72</v>
      </c>
      <c r="AE305" t="s">
        <v>76</v>
      </c>
      <c r="AF305" t="s">
        <v>4078</v>
      </c>
      <c r="AG305" t="s">
        <v>77</v>
      </c>
    </row>
    <row r="306" spans="1:33" x14ac:dyDescent="0.25">
      <c r="A306" t="str">
        <f>"1528195344"</f>
        <v>1528195344</v>
      </c>
      <c r="B306" t="str">
        <f>"00901359"</f>
        <v>00901359</v>
      </c>
      <c r="C306" t="s">
        <v>5127</v>
      </c>
      <c r="D306" t="s">
        <v>2948</v>
      </c>
      <c r="E306" t="s">
        <v>2949</v>
      </c>
      <c r="G306" t="s">
        <v>5128</v>
      </c>
      <c r="H306" t="s">
        <v>5129</v>
      </c>
      <c r="J306" t="s">
        <v>5130</v>
      </c>
      <c r="L306" t="s">
        <v>15</v>
      </c>
      <c r="M306" t="s">
        <v>81</v>
      </c>
      <c r="R306" t="s">
        <v>2947</v>
      </c>
      <c r="W306" t="s">
        <v>2950</v>
      </c>
      <c r="X306" t="s">
        <v>2951</v>
      </c>
      <c r="Y306" t="s">
        <v>354</v>
      </c>
      <c r="Z306" t="s">
        <v>73</v>
      </c>
      <c r="AA306" t="str">
        <f>"14787-1113"</f>
        <v>14787-1113</v>
      </c>
      <c r="AB306" t="s">
        <v>98</v>
      </c>
      <c r="AC306" t="s">
        <v>75</v>
      </c>
      <c r="AD306" t="s">
        <v>72</v>
      </c>
      <c r="AE306" t="s">
        <v>76</v>
      </c>
      <c r="AF306" t="s">
        <v>4078</v>
      </c>
      <c r="AG306" t="s">
        <v>77</v>
      </c>
    </row>
    <row r="307" spans="1:33" x14ac:dyDescent="0.25">
      <c r="A307" t="str">
        <f>"1215901749"</f>
        <v>1215901749</v>
      </c>
      <c r="B307" t="str">
        <f>"01800999"</f>
        <v>01800999</v>
      </c>
      <c r="C307" t="s">
        <v>5131</v>
      </c>
      <c r="D307" t="s">
        <v>2524</v>
      </c>
      <c r="E307" t="s">
        <v>2525</v>
      </c>
      <c r="G307" t="s">
        <v>5131</v>
      </c>
      <c r="H307" t="s">
        <v>5132</v>
      </c>
      <c r="J307" t="s">
        <v>5133</v>
      </c>
      <c r="L307" t="s">
        <v>71</v>
      </c>
      <c r="M307" t="s">
        <v>72</v>
      </c>
      <c r="R307" t="s">
        <v>2526</v>
      </c>
      <c r="W307" t="s">
        <v>2525</v>
      </c>
      <c r="X307" t="s">
        <v>243</v>
      </c>
      <c r="Y307" t="s">
        <v>117</v>
      </c>
      <c r="Z307" t="s">
        <v>73</v>
      </c>
      <c r="AA307" t="str">
        <f>"14203-1126"</f>
        <v>14203-1126</v>
      </c>
      <c r="AB307" t="s">
        <v>74</v>
      </c>
      <c r="AC307" t="s">
        <v>75</v>
      </c>
      <c r="AD307" t="s">
        <v>72</v>
      </c>
      <c r="AE307" t="s">
        <v>76</v>
      </c>
      <c r="AF307" t="s">
        <v>3974</v>
      </c>
      <c r="AG307" t="s">
        <v>77</v>
      </c>
    </row>
    <row r="308" spans="1:33" x14ac:dyDescent="0.25">
      <c r="A308" t="str">
        <f>"1992813828"</f>
        <v>1992813828</v>
      </c>
      <c r="B308" t="str">
        <f>"03413467"</f>
        <v>03413467</v>
      </c>
      <c r="C308" t="s">
        <v>5134</v>
      </c>
      <c r="D308" t="s">
        <v>5135</v>
      </c>
      <c r="E308" t="s">
        <v>5136</v>
      </c>
      <c r="G308" t="s">
        <v>5137</v>
      </c>
      <c r="H308" t="s">
        <v>5138</v>
      </c>
      <c r="J308" t="s">
        <v>5139</v>
      </c>
      <c r="L308" t="s">
        <v>79</v>
      </c>
      <c r="M308" t="s">
        <v>72</v>
      </c>
      <c r="R308" t="s">
        <v>5140</v>
      </c>
      <c r="W308" t="s">
        <v>5136</v>
      </c>
      <c r="X308" t="s">
        <v>204</v>
      </c>
      <c r="Y308" t="s">
        <v>117</v>
      </c>
      <c r="Z308" t="s">
        <v>73</v>
      </c>
      <c r="AA308" t="str">
        <f>"14263-0001"</f>
        <v>14263-0001</v>
      </c>
      <c r="AB308" t="s">
        <v>74</v>
      </c>
      <c r="AC308" t="s">
        <v>75</v>
      </c>
      <c r="AD308" t="s">
        <v>72</v>
      </c>
      <c r="AE308" t="s">
        <v>76</v>
      </c>
      <c r="AF308" t="s">
        <v>3974</v>
      </c>
      <c r="AG308" t="s">
        <v>77</v>
      </c>
    </row>
    <row r="309" spans="1:33" x14ac:dyDescent="0.25">
      <c r="A309" t="str">
        <f>"1255325650"</f>
        <v>1255325650</v>
      </c>
      <c r="B309" t="str">
        <f>"00765962"</f>
        <v>00765962</v>
      </c>
      <c r="C309" t="s">
        <v>5141</v>
      </c>
      <c r="D309" t="s">
        <v>2228</v>
      </c>
      <c r="E309" t="s">
        <v>2229</v>
      </c>
      <c r="G309" t="s">
        <v>5142</v>
      </c>
      <c r="H309" t="s">
        <v>1922</v>
      </c>
      <c r="J309" t="s">
        <v>5143</v>
      </c>
      <c r="L309" t="s">
        <v>79</v>
      </c>
      <c r="M309" t="s">
        <v>72</v>
      </c>
      <c r="R309" t="s">
        <v>2230</v>
      </c>
      <c r="W309" t="s">
        <v>2231</v>
      </c>
      <c r="X309" t="s">
        <v>2232</v>
      </c>
      <c r="Y309" t="s">
        <v>247</v>
      </c>
      <c r="Z309" t="s">
        <v>73</v>
      </c>
      <c r="AA309" t="str">
        <f>"14215-1941"</f>
        <v>14215-1941</v>
      </c>
      <c r="AB309" t="s">
        <v>74</v>
      </c>
      <c r="AC309" t="s">
        <v>75</v>
      </c>
      <c r="AD309" t="s">
        <v>72</v>
      </c>
      <c r="AE309" t="s">
        <v>76</v>
      </c>
      <c r="AF309" t="s">
        <v>3961</v>
      </c>
      <c r="AG309" t="s">
        <v>77</v>
      </c>
    </row>
    <row r="310" spans="1:33" x14ac:dyDescent="0.25">
      <c r="A310" t="str">
        <f>"1255432944"</f>
        <v>1255432944</v>
      </c>
      <c r="B310" t="str">
        <f>"01827210"</f>
        <v>01827210</v>
      </c>
      <c r="C310" t="s">
        <v>5144</v>
      </c>
      <c r="D310" t="s">
        <v>5145</v>
      </c>
      <c r="E310" t="s">
        <v>5146</v>
      </c>
      <c r="G310" t="s">
        <v>5147</v>
      </c>
      <c r="H310" t="s">
        <v>4831</v>
      </c>
      <c r="J310" t="s">
        <v>5148</v>
      </c>
      <c r="L310" t="s">
        <v>84</v>
      </c>
      <c r="M310" t="s">
        <v>72</v>
      </c>
      <c r="R310" t="s">
        <v>5149</v>
      </c>
      <c r="W310" t="s">
        <v>5146</v>
      </c>
      <c r="X310" t="s">
        <v>763</v>
      </c>
      <c r="Y310" t="s">
        <v>117</v>
      </c>
      <c r="Z310" t="s">
        <v>73</v>
      </c>
      <c r="AA310" t="str">
        <f>"14207-2341"</f>
        <v>14207-2341</v>
      </c>
      <c r="AB310" t="s">
        <v>74</v>
      </c>
      <c r="AC310" t="s">
        <v>75</v>
      </c>
      <c r="AD310" t="s">
        <v>72</v>
      </c>
      <c r="AE310" t="s">
        <v>76</v>
      </c>
      <c r="AF310" t="s">
        <v>3974</v>
      </c>
      <c r="AG310" t="s">
        <v>77</v>
      </c>
    </row>
    <row r="311" spans="1:33" x14ac:dyDescent="0.25">
      <c r="A311" t="str">
        <f>"1275844540"</f>
        <v>1275844540</v>
      </c>
      <c r="B311" t="str">
        <f>"03264651"</f>
        <v>03264651</v>
      </c>
      <c r="C311" t="s">
        <v>5150</v>
      </c>
      <c r="D311" t="s">
        <v>3029</v>
      </c>
      <c r="E311" t="s">
        <v>3030</v>
      </c>
      <c r="G311" t="s">
        <v>5151</v>
      </c>
      <c r="H311" t="s">
        <v>647</v>
      </c>
      <c r="J311" t="s">
        <v>5152</v>
      </c>
      <c r="L311" t="s">
        <v>79</v>
      </c>
      <c r="M311" t="s">
        <v>72</v>
      </c>
      <c r="R311" t="s">
        <v>3031</v>
      </c>
      <c r="W311" t="s">
        <v>3032</v>
      </c>
      <c r="X311" t="s">
        <v>649</v>
      </c>
      <c r="Y311" t="s">
        <v>237</v>
      </c>
      <c r="Z311" t="s">
        <v>73</v>
      </c>
      <c r="AA311" t="str">
        <f>"14224-4658"</f>
        <v>14224-4658</v>
      </c>
      <c r="AB311" t="s">
        <v>74</v>
      </c>
      <c r="AC311" t="s">
        <v>75</v>
      </c>
      <c r="AD311" t="s">
        <v>72</v>
      </c>
      <c r="AE311" t="s">
        <v>76</v>
      </c>
      <c r="AF311" t="s">
        <v>3961</v>
      </c>
      <c r="AG311" t="s">
        <v>77</v>
      </c>
    </row>
    <row r="312" spans="1:33" x14ac:dyDescent="0.25">
      <c r="A312" t="str">
        <f>"1861553349"</f>
        <v>1861553349</v>
      </c>
      <c r="B312" t="str">
        <f>"03038671"</f>
        <v>03038671</v>
      </c>
      <c r="C312" t="s">
        <v>5153</v>
      </c>
      <c r="D312" t="s">
        <v>5154</v>
      </c>
      <c r="E312" t="s">
        <v>5155</v>
      </c>
      <c r="G312" t="s">
        <v>5156</v>
      </c>
      <c r="H312" t="s">
        <v>1927</v>
      </c>
      <c r="J312" t="s">
        <v>5157</v>
      </c>
      <c r="L312" t="s">
        <v>80</v>
      </c>
      <c r="M312" t="s">
        <v>72</v>
      </c>
      <c r="R312" t="s">
        <v>5158</v>
      </c>
      <c r="W312" t="s">
        <v>5159</v>
      </c>
      <c r="X312" t="s">
        <v>1853</v>
      </c>
      <c r="Y312" t="s">
        <v>117</v>
      </c>
      <c r="Z312" t="s">
        <v>73</v>
      </c>
      <c r="AA312" t="str">
        <f>"14218-1626"</f>
        <v>14218-1626</v>
      </c>
      <c r="AB312" t="s">
        <v>74</v>
      </c>
      <c r="AC312" t="s">
        <v>75</v>
      </c>
      <c r="AD312" t="s">
        <v>72</v>
      </c>
      <c r="AE312" t="s">
        <v>76</v>
      </c>
      <c r="AF312" t="s">
        <v>3961</v>
      </c>
      <c r="AG312" t="s">
        <v>77</v>
      </c>
    </row>
    <row r="313" spans="1:33" x14ac:dyDescent="0.25">
      <c r="A313" t="str">
        <f>"1427288463"</f>
        <v>1427288463</v>
      </c>
      <c r="B313" t="str">
        <f>"03632166"</f>
        <v>03632166</v>
      </c>
      <c r="C313" t="s">
        <v>5160</v>
      </c>
      <c r="D313" t="s">
        <v>3407</v>
      </c>
      <c r="E313" t="s">
        <v>3408</v>
      </c>
      <c r="G313" t="s">
        <v>4772</v>
      </c>
      <c r="H313" t="s">
        <v>801</v>
      </c>
      <c r="J313" t="s">
        <v>4773</v>
      </c>
      <c r="L313" t="s">
        <v>79</v>
      </c>
      <c r="M313" t="s">
        <v>72</v>
      </c>
      <c r="R313" t="s">
        <v>3409</v>
      </c>
      <c r="W313" t="s">
        <v>3408</v>
      </c>
      <c r="X313" t="s">
        <v>3410</v>
      </c>
      <c r="Y313" t="s">
        <v>326</v>
      </c>
      <c r="Z313" t="s">
        <v>73</v>
      </c>
      <c r="AA313" t="str">
        <f>"14127-1500"</f>
        <v>14127-1500</v>
      </c>
      <c r="AB313" t="s">
        <v>74</v>
      </c>
      <c r="AC313" t="s">
        <v>75</v>
      </c>
      <c r="AD313" t="s">
        <v>72</v>
      </c>
      <c r="AE313" t="s">
        <v>76</v>
      </c>
      <c r="AF313" t="s">
        <v>3974</v>
      </c>
      <c r="AG313" t="s">
        <v>77</v>
      </c>
    </row>
    <row r="314" spans="1:33" x14ac:dyDescent="0.25">
      <c r="A314" t="str">
        <f>"1053573444"</f>
        <v>1053573444</v>
      </c>
      <c r="B314" t="str">
        <f>"03723104"</f>
        <v>03723104</v>
      </c>
      <c r="C314" t="s">
        <v>5161</v>
      </c>
      <c r="D314" t="s">
        <v>2234</v>
      </c>
      <c r="E314" t="s">
        <v>2235</v>
      </c>
      <c r="G314" t="s">
        <v>4041</v>
      </c>
      <c r="H314" t="s">
        <v>3128</v>
      </c>
      <c r="J314" t="s">
        <v>5162</v>
      </c>
      <c r="L314" t="s">
        <v>79</v>
      </c>
      <c r="M314" t="s">
        <v>72</v>
      </c>
      <c r="R314" t="s">
        <v>2236</v>
      </c>
      <c r="W314" t="s">
        <v>2235</v>
      </c>
      <c r="X314" t="s">
        <v>2237</v>
      </c>
      <c r="Y314" t="s">
        <v>228</v>
      </c>
      <c r="Z314" t="s">
        <v>73</v>
      </c>
      <c r="AA314" t="str">
        <f>"14226-1855"</f>
        <v>14226-1855</v>
      </c>
      <c r="AB314" t="s">
        <v>74</v>
      </c>
      <c r="AC314" t="s">
        <v>75</v>
      </c>
      <c r="AD314" t="s">
        <v>72</v>
      </c>
      <c r="AE314" t="s">
        <v>76</v>
      </c>
      <c r="AF314" t="s">
        <v>3974</v>
      </c>
      <c r="AG314" t="s">
        <v>77</v>
      </c>
    </row>
    <row r="315" spans="1:33" x14ac:dyDescent="0.25">
      <c r="A315" t="str">
        <f>"1346215167"</f>
        <v>1346215167</v>
      </c>
      <c r="B315" t="str">
        <f>"01530547"</f>
        <v>01530547</v>
      </c>
      <c r="C315" t="s">
        <v>5163</v>
      </c>
      <c r="D315" t="s">
        <v>3156</v>
      </c>
      <c r="E315" t="s">
        <v>3157</v>
      </c>
      <c r="G315" t="s">
        <v>5164</v>
      </c>
      <c r="H315" t="s">
        <v>5165</v>
      </c>
      <c r="J315" t="s">
        <v>5166</v>
      </c>
      <c r="L315" t="s">
        <v>79</v>
      </c>
      <c r="M315" t="s">
        <v>72</v>
      </c>
      <c r="R315" t="s">
        <v>3158</v>
      </c>
      <c r="W315" t="s">
        <v>3157</v>
      </c>
      <c r="X315" t="s">
        <v>131</v>
      </c>
      <c r="Y315" t="s">
        <v>132</v>
      </c>
      <c r="Z315" t="s">
        <v>73</v>
      </c>
      <c r="AA315" t="str">
        <f>"11030-3816"</f>
        <v>11030-3816</v>
      </c>
      <c r="AB315" t="s">
        <v>74</v>
      </c>
      <c r="AC315" t="s">
        <v>75</v>
      </c>
      <c r="AD315" t="s">
        <v>72</v>
      </c>
      <c r="AE315" t="s">
        <v>76</v>
      </c>
      <c r="AG315" t="s">
        <v>77</v>
      </c>
    </row>
    <row r="316" spans="1:33" x14ac:dyDescent="0.25">
      <c r="A316" t="str">
        <f>"1316067499"</f>
        <v>1316067499</v>
      </c>
      <c r="B316" t="str">
        <f>"00774016"</f>
        <v>00774016</v>
      </c>
      <c r="C316" t="s">
        <v>5167</v>
      </c>
      <c r="D316" t="s">
        <v>3038</v>
      </c>
      <c r="E316" t="s">
        <v>3039</v>
      </c>
      <c r="G316" t="s">
        <v>4856</v>
      </c>
      <c r="H316" t="s">
        <v>1762</v>
      </c>
      <c r="J316" t="s">
        <v>4857</v>
      </c>
      <c r="L316" t="s">
        <v>71</v>
      </c>
      <c r="M316" t="s">
        <v>72</v>
      </c>
      <c r="R316" t="s">
        <v>3040</v>
      </c>
      <c r="W316" t="s">
        <v>3039</v>
      </c>
      <c r="X316" t="s">
        <v>369</v>
      </c>
      <c r="Y316" t="s">
        <v>117</v>
      </c>
      <c r="Z316" t="s">
        <v>73</v>
      </c>
      <c r="AA316" t="str">
        <f>"14209-2412"</f>
        <v>14209-2412</v>
      </c>
      <c r="AB316" t="s">
        <v>74</v>
      </c>
      <c r="AC316" t="s">
        <v>75</v>
      </c>
      <c r="AD316" t="s">
        <v>72</v>
      </c>
      <c r="AE316" t="s">
        <v>76</v>
      </c>
      <c r="AF316" t="s">
        <v>3974</v>
      </c>
      <c r="AG316" t="s">
        <v>77</v>
      </c>
    </row>
    <row r="317" spans="1:33" x14ac:dyDescent="0.25">
      <c r="A317" t="str">
        <f>"1912973025"</f>
        <v>1912973025</v>
      </c>
      <c r="B317" t="str">
        <f>"01344518"</f>
        <v>01344518</v>
      </c>
      <c r="C317" t="s">
        <v>5168</v>
      </c>
      <c r="D317" t="s">
        <v>3739</v>
      </c>
      <c r="E317" t="s">
        <v>3740</v>
      </c>
      <c r="G317" t="s">
        <v>4017</v>
      </c>
      <c r="H317" t="s">
        <v>597</v>
      </c>
      <c r="J317" t="s">
        <v>4018</v>
      </c>
      <c r="L317" t="s">
        <v>71</v>
      </c>
      <c r="M317" t="s">
        <v>72</v>
      </c>
      <c r="R317" t="s">
        <v>3741</v>
      </c>
      <c r="W317" t="s">
        <v>3740</v>
      </c>
      <c r="Y317" t="s">
        <v>117</v>
      </c>
      <c r="Z317" t="s">
        <v>73</v>
      </c>
      <c r="AA317" t="str">
        <f>"14215-1145"</f>
        <v>14215-1145</v>
      </c>
      <c r="AB317" t="s">
        <v>74</v>
      </c>
      <c r="AC317" t="s">
        <v>75</v>
      </c>
      <c r="AD317" t="s">
        <v>72</v>
      </c>
      <c r="AE317" t="s">
        <v>76</v>
      </c>
      <c r="AF317" t="s">
        <v>3974</v>
      </c>
      <c r="AG317" t="s">
        <v>77</v>
      </c>
    </row>
    <row r="318" spans="1:33" x14ac:dyDescent="0.25">
      <c r="A318" t="str">
        <f>"1588735203"</f>
        <v>1588735203</v>
      </c>
      <c r="B318" t="str">
        <f>"01171920"</f>
        <v>01171920</v>
      </c>
      <c r="C318" t="s">
        <v>5169</v>
      </c>
      <c r="D318" t="s">
        <v>3763</v>
      </c>
      <c r="E318" t="s">
        <v>3764</v>
      </c>
      <c r="G318" t="s">
        <v>5170</v>
      </c>
      <c r="H318" t="s">
        <v>5171</v>
      </c>
      <c r="J318" t="s">
        <v>5172</v>
      </c>
      <c r="L318" t="s">
        <v>79</v>
      </c>
      <c r="M318" t="s">
        <v>72</v>
      </c>
      <c r="R318" t="s">
        <v>3765</v>
      </c>
      <c r="W318" t="s">
        <v>3764</v>
      </c>
      <c r="X318" t="s">
        <v>3766</v>
      </c>
      <c r="Y318" t="s">
        <v>247</v>
      </c>
      <c r="Z318" t="s">
        <v>73</v>
      </c>
      <c r="AA318" t="str">
        <f>"14215-2013"</f>
        <v>14215-2013</v>
      </c>
      <c r="AB318" t="s">
        <v>74</v>
      </c>
      <c r="AC318" t="s">
        <v>75</v>
      </c>
      <c r="AD318" t="s">
        <v>72</v>
      </c>
      <c r="AE318" t="s">
        <v>76</v>
      </c>
      <c r="AF318" t="s">
        <v>3974</v>
      </c>
      <c r="AG318" t="s">
        <v>77</v>
      </c>
    </row>
    <row r="319" spans="1:33" x14ac:dyDescent="0.25">
      <c r="A319" t="str">
        <f>"1609804368"</f>
        <v>1609804368</v>
      </c>
      <c r="B319" t="str">
        <f>"00725315"</f>
        <v>00725315</v>
      </c>
      <c r="C319" t="s">
        <v>5173</v>
      </c>
      <c r="D319" t="s">
        <v>5174</v>
      </c>
      <c r="E319" t="s">
        <v>5175</v>
      </c>
      <c r="G319" t="s">
        <v>4003</v>
      </c>
      <c r="H319" t="s">
        <v>5176</v>
      </c>
      <c r="J319" t="s">
        <v>4004</v>
      </c>
      <c r="L319" t="s">
        <v>80</v>
      </c>
      <c r="M319" t="s">
        <v>72</v>
      </c>
      <c r="R319" t="s">
        <v>5177</v>
      </c>
      <c r="W319" t="s">
        <v>5175</v>
      </c>
      <c r="X319" t="s">
        <v>2088</v>
      </c>
      <c r="Y319" t="s">
        <v>296</v>
      </c>
      <c r="Z319" t="s">
        <v>73</v>
      </c>
      <c r="AA319" t="str">
        <f>"14086-2224"</f>
        <v>14086-2224</v>
      </c>
      <c r="AB319" t="s">
        <v>74</v>
      </c>
      <c r="AC319" t="s">
        <v>75</v>
      </c>
      <c r="AD319" t="s">
        <v>72</v>
      </c>
      <c r="AE319" t="s">
        <v>76</v>
      </c>
      <c r="AF319" t="s">
        <v>3961</v>
      </c>
      <c r="AG319" t="s">
        <v>77</v>
      </c>
    </row>
    <row r="320" spans="1:33" x14ac:dyDescent="0.25">
      <c r="A320" t="str">
        <f>"1679506117"</f>
        <v>1679506117</v>
      </c>
      <c r="B320" t="str">
        <f>"03024155"</f>
        <v>03024155</v>
      </c>
      <c r="C320" t="s">
        <v>5178</v>
      </c>
      <c r="D320" t="s">
        <v>5179</v>
      </c>
      <c r="E320" t="s">
        <v>5180</v>
      </c>
      <c r="G320" t="s">
        <v>5178</v>
      </c>
      <c r="H320" t="s">
        <v>4732</v>
      </c>
      <c r="J320" t="s">
        <v>5181</v>
      </c>
      <c r="L320" t="s">
        <v>79</v>
      </c>
      <c r="M320" t="s">
        <v>72</v>
      </c>
      <c r="R320" t="s">
        <v>5182</v>
      </c>
      <c r="W320" t="s">
        <v>5180</v>
      </c>
      <c r="X320" t="s">
        <v>234</v>
      </c>
      <c r="Y320" t="s">
        <v>117</v>
      </c>
      <c r="Z320" t="s">
        <v>73</v>
      </c>
      <c r="AA320" t="str">
        <f>"14220-2039"</f>
        <v>14220-2039</v>
      </c>
      <c r="AB320" t="s">
        <v>74</v>
      </c>
      <c r="AC320" t="s">
        <v>75</v>
      </c>
      <c r="AD320" t="s">
        <v>72</v>
      </c>
      <c r="AE320" t="s">
        <v>76</v>
      </c>
      <c r="AF320" t="s">
        <v>3974</v>
      </c>
      <c r="AG320" t="s">
        <v>77</v>
      </c>
    </row>
    <row r="321" spans="1:33" x14ac:dyDescent="0.25">
      <c r="A321" t="str">
        <f>"1730120304"</f>
        <v>1730120304</v>
      </c>
      <c r="B321" t="str">
        <f>"01771273"</f>
        <v>01771273</v>
      </c>
      <c r="C321" t="s">
        <v>5183</v>
      </c>
      <c r="D321" t="s">
        <v>2536</v>
      </c>
      <c r="E321" t="s">
        <v>2537</v>
      </c>
      <c r="G321" t="s">
        <v>4652</v>
      </c>
      <c r="H321" t="s">
        <v>672</v>
      </c>
      <c r="J321" t="s">
        <v>4653</v>
      </c>
      <c r="L321" t="s">
        <v>80</v>
      </c>
      <c r="M321" t="s">
        <v>72</v>
      </c>
      <c r="R321" t="s">
        <v>2538</v>
      </c>
      <c r="W321" t="s">
        <v>2537</v>
      </c>
      <c r="X321" t="s">
        <v>173</v>
      </c>
      <c r="Y321" t="s">
        <v>117</v>
      </c>
      <c r="Z321" t="s">
        <v>73</v>
      </c>
      <c r="AA321" t="str">
        <f>"14222-2099"</f>
        <v>14222-2099</v>
      </c>
      <c r="AB321" t="s">
        <v>74</v>
      </c>
      <c r="AC321" t="s">
        <v>75</v>
      </c>
      <c r="AD321" t="s">
        <v>72</v>
      </c>
      <c r="AE321" t="s">
        <v>76</v>
      </c>
      <c r="AF321" t="s">
        <v>3961</v>
      </c>
      <c r="AG321" t="s">
        <v>77</v>
      </c>
    </row>
    <row r="322" spans="1:33" x14ac:dyDescent="0.25">
      <c r="A322" t="str">
        <f>"1689638462"</f>
        <v>1689638462</v>
      </c>
      <c r="B322" t="str">
        <f>"01083825"</f>
        <v>01083825</v>
      </c>
      <c r="C322" t="s">
        <v>5184</v>
      </c>
      <c r="D322" t="s">
        <v>661</v>
      </c>
      <c r="E322" t="s">
        <v>662</v>
      </c>
      <c r="G322" t="s">
        <v>5185</v>
      </c>
      <c r="H322" t="s">
        <v>1015</v>
      </c>
      <c r="J322" t="s">
        <v>5186</v>
      </c>
      <c r="L322" t="s">
        <v>79</v>
      </c>
      <c r="M322" t="s">
        <v>72</v>
      </c>
      <c r="R322" t="s">
        <v>663</v>
      </c>
      <c r="W322" t="s">
        <v>662</v>
      </c>
      <c r="X322" t="s">
        <v>664</v>
      </c>
      <c r="Y322" t="s">
        <v>221</v>
      </c>
      <c r="Z322" t="s">
        <v>73</v>
      </c>
      <c r="AA322" t="str">
        <f>"14221-5934"</f>
        <v>14221-5934</v>
      </c>
      <c r="AB322" t="s">
        <v>74</v>
      </c>
      <c r="AC322" t="s">
        <v>75</v>
      </c>
      <c r="AD322" t="s">
        <v>72</v>
      </c>
      <c r="AE322" t="s">
        <v>76</v>
      </c>
      <c r="AF322" t="s">
        <v>3974</v>
      </c>
      <c r="AG322" t="s">
        <v>77</v>
      </c>
    </row>
    <row r="323" spans="1:33" x14ac:dyDescent="0.25">
      <c r="A323" t="str">
        <f>"1326097403"</f>
        <v>1326097403</v>
      </c>
      <c r="B323" t="str">
        <f>"02798570"</f>
        <v>02798570</v>
      </c>
      <c r="C323" t="s">
        <v>5187</v>
      </c>
      <c r="D323" t="s">
        <v>561</v>
      </c>
      <c r="E323" t="s">
        <v>562</v>
      </c>
      <c r="G323" t="s">
        <v>5187</v>
      </c>
      <c r="H323" t="s">
        <v>5188</v>
      </c>
      <c r="J323" t="s">
        <v>5189</v>
      </c>
      <c r="L323" t="s">
        <v>79</v>
      </c>
      <c r="M323" t="s">
        <v>72</v>
      </c>
      <c r="R323" t="s">
        <v>560</v>
      </c>
      <c r="W323" t="s">
        <v>562</v>
      </c>
      <c r="X323" t="s">
        <v>393</v>
      </c>
      <c r="Y323" t="s">
        <v>228</v>
      </c>
      <c r="Z323" t="s">
        <v>73</v>
      </c>
      <c r="AA323" t="str">
        <f>"14226-1727"</f>
        <v>14226-1727</v>
      </c>
      <c r="AB323" t="s">
        <v>74</v>
      </c>
      <c r="AC323" t="s">
        <v>75</v>
      </c>
      <c r="AD323" t="s">
        <v>72</v>
      </c>
      <c r="AE323" t="s">
        <v>76</v>
      </c>
      <c r="AF323" t="s">
        <v>3974</v>
      </c>
      <c r="AG323" t="s">
        <v>77</v>
      </c>
    </row>
    <row r="324" spans="1:33" x14ac:dyDescent="0.25">
      <c r="A324" t="str">
        <f>"1154304459"</f>
        <v>1154304459</v>
      </c>
      <c r="B324" t="str">
        <f>"01926232"</f>
        <v>01926232</v>
      </c>
      <c r="C324" t="s">
        <v>5190</v>
      </c>
      <c r="D324" t="s">
        <v>5191</v>
      </c>
      <c r="E324" t="s">
        <v>5192</v>
      </c>
      <c r="L324" t="s">
        <v>71</v>
      </c>
      <c r="M324" t="s">
        <v>72</v>
      </c>
      <c r="R324" t="s">
        <v>5192</v>
      </c>
      <c r="W324" t="s">
        <v>5192</v>
      </c>
      <c r="X324" t="s">
        <v>204</v>
      </c>
      <c r="Y324" t="s">
        <v>117</v>
      </c>
      <c r="Z324" t="s">
        <v>73</v>
      </c>
      <c r="AA324" t="str">
        <f>"14263-0001"</f>
        <v>14263-0001</v>
      </c>
      <c r="AB324" t="s">
        <v>74</v>
      </c>
      <c r="AC324" t="s">
        <v>75</v>
      </c>
      <c r="AD324" t="s">
        <v>72</v>
      </c>
      <c r="AE324" t="s">
        <v>76</v>
      </c>
      <c r="AF324" t="s">
        <v>4043</v>
      </c>
      <c r="AG324" t="s">
        <v>77</v>
      </c>
    </row>
    <row r="325" spans="1:33" x14ac:dyDescent="0.25">
      <c r="A325" t="str">
        <f>"1295946192"</f>
        <v>1295946192</v>
      </c>
      <c r="B325" t="str">
        <f>"02899943"</f>
        <v>02899943</v>
      </c>
      <c r="C325" t="s">
        <v>5193</v>
      </c>
      <c r="D325" t="s">
        <v>5194</v>
      </c>
      <c r="E325" t="s">
        <v>5195</v>
      </c>
      <c r="L325" t="s">
        <v>71</v>
      </c>
      <c r="M325" t="s">
        <v>72</v>
      </c>
      <c r="R325" t="s">
        <v>5196</v>
      </c>
      <c r="W325" t="s">
        <v>5195</v>
      </c>
      <c r="X325" t="s">
        <v>204</v>
      </c>
      <c r="Y325" t="s">
        <v>117</v>
      </c>
      <c r="Z325" t="s">
        <v>73</v>
      </c>
      <c r="AA325" t="str">
        <f>"14263-0001"</f>
        <v>14263-0001</v>
      </c>
      <c r="AB325" t="s">
        <v>74</v>
      </c>
      <c r="AC325" t="s">
        <v>75</v>
      </c>
      <c r="AD325" t="s">
        <v>72</v>
      </c>
      <c r="AE325" t="s">
        <v>76</v>
      </c>
      <c r="AF325" t="s">
        <v>4043</v>
      </c>
      <c r="AG325" t="s">
        <v>77</v>
      </c>
    </row>
    <row r="326" spans="1:33" x14ac:dyDescent="0.25">
      <c r="A326" t="str">
        <f>"1598963886"</f>
        <v>1598963886</v>
      </c>
      <c r="B326" t="str">
        <f>"02928229"</f>
        <v>02928229</v>
      </c>
      <c r="C326" t="s">
        <v>5197</v>
      </c>
      <c r="D326" t="s">
        <v>5198</v>
      </c>
      <c r="E326" t="s">
        <v>5199</v>
      </c>
      <c r="L326" t="s">
        <v>79</v>
      </c>
      <c r="M326" t="s">
        <v>72</v>
      </c>
      <c r="R326" t="s">
        <v>5200</v>
      </c>
      <c r="W326" t="s">
        <v>5201</v>
      </c>
      <c r="X326" t="s">
        <v>1029</v>
      </c>
      <c r="Y326" t="s">
        <v>247</v>
      </c>
      <c r="Z326" t="s">
        <v>73</v>
      </c>
      <c r="AA326" t="str">
        <f>"14227-1416"</f>
        <v>14227-1416</v>
      </c>
      <c r="AB326" t="s">
        <v>74</v>
      </c>
      <c r="AC326" t="s">
        <v>75</v>
      </c>
      <c r="AD326" t="s">
        <v>72</v>
      </c>
      <c r="AE326" t="s">
        <v>76</v>
      </c>
      <c r="AF326" t="s">
        <v>4043</v>
      </c>
      <c r="AG326" t="s">
        <v>77</v>
      </c>
    </row>
    <row r="327" spans="1:33" x14ac:dyDescent="0.25">
      <c r="A327" t="str">
        <f>"1215224217"</f>
        <v>1215224217</v>
      </c>
      <c r="B327" t="str">
        <f>"03376923"</f>
        <v>03376923</v>
      </c>
      <c r="C327" t="s">
        <v>5202</v>
      </c>
      <c r="D327" t="s">
        <v>5203</v>
      </c>
      <c r="E327" t="s">
        <v>5204</v>
      </c>
      <c r="L327" t="s">
        <v>71</v>
      </c>
      <c r="M327" t="s">
        <v>72</v>
      </c>
      <c r="R327" t="s">
        <v>5204</v>
      </c>
      <c r="W327" t="s">
        <v>5204</v>
      </c>
      <c r="X327" t="s">
        <v>204</v>
      </c>
      <c r="Y327" t="s">
        <v>117</v>
      </c>
      <c r="Z327" t="s">
        <v>73</v>
      </c>
      <c r="AA327" t="str">
        <f>"14263-0001"</f>
        <v>14263-0001</v>
      </c>
      <c r="AB327" t="s">
        <v>74</v>
      </c>
      <c r="AC327" t="s">
        <v>75</v>
      </c>
      <c r="AD327" t="s">
        <v>72</v>
      </c>
      <c r="AE327" t="s">
        <v>76</v>
      </c>
      <c r="AF327" t="s">
        <v>4043</v>
      </c>
      <c r="AG327" t="s">
        <v>77</v>
      </c>
    </row>
    <row r="328" spans="1:33" x14ac:dyDescent="0.25">
      <c r="A328" t="str">
        <f>"1700125788"</f>
        <v>1700125788</v>
      </c>
      <c r="B328" t="str">
        <f>"03548249"</f>
        <v>03548249</v>
      </c>
      <c r="C328" t="s">
        <v>5205</v>
      </c>
      <c r="D328" t="s">
        <v>5206</v>
      </c>
      <c r="E328" t="s">
        <v>5207</v>
      </c>
      <c r="L328" t="s">
        <v>71</v>
      </c>
      <c r="M328" t="s">
        <v>72</v>
      </c>
      <c r="R328" t="s">
        <v>5208</v>
      </c>
      <c r="W328" t="s">
        <v>5207</v>
      </c>
      <c r="X328" t="s">
        <v>204</v>
      </c>
      <c r="Y328" t="s">
        <v>117</v>
      </c>
      <c r="Z328" t="s">
        <v>73</v>
      </c>
      <c r="AA328" t="str">
        <f>"14263-0001"</f>
        <v>14263-0001</v>
      </c>
      <c r="AB328" t="s">
        <v>74</v>
      </c>
      <c r="AC328" t="s">
        <v>75</v>
      </c>
      <c r="AD328" t="s">
        <v>72</v>
      </c>
      <c r="AE328" t="s">
        <v>76</v>
      </c>
      <c r="AF328" t="s">
        <v>4043</v>
      </c>
      <c r="AG328" t="s">
        <v>77</v>
      </c>
    </row>
    <row r="329" spans="1:33" x14ac:dyDescent="0.25">
      <c r="A329" t="str">
        <f>"1164771713"</f>
        <v>1164771713</v>
      </c>
      <c r="B329" t="str">
        <f>"03521088"</f>
        <v>03521088</v>
      </c>
      <c r="C329" t="s">
        <v>5209</v>
      </c>
      <c r="D329" t="s">
        <v>5210</v>
      </c>
      <c r="E329" t="s">
        <v>5211</v>
      </c>
      <c r="L329" t="s">
        <v>71</v>
      </c>
      <c r="M329" t="s">
        <v>72</v>
      </c>
      <c r="R329" t="s">
        <v>5212</v>
      </c>
      <c r="W329" t="s">
        <v>5211</v>
      </c>
      <c r="X329" t="s">
        <v>204</v>
      </c>
      <c r="Y329" t="s">
        <v>117</v>
      </c>
      <c r="Z329" t="s">
        <v>73</v>
      </c>
      <c r="AA329" t="str">
        <f>"14263-0001"</f>
        <v>14263-0001</v>
      </c>
      <c r="AB329" t="s">
        <v>74</v>
      </c>
      <c r="AC329" t="s">
        <v>75</v>
      </c>
      <c r="AD329" t="s">
        <v>72</v>
      </c>
      <c r="AE329" t="s">
        <v>76</v>
      </c>
      <c r="AF329" t="s">
        <v>4043</v>
      </c>
      <c r="AG329" t="s">
        <v>77</v>
      </c>
    </row>
    <row r="330" spans="1:33" x14ac:dyDescent="0.25">
      <c r="A330" t="str">
        <f>"1568767903"</f>
        <v>1568767903</v>
      </c>
      <c r="B330" t="str">
        <f>"03372043"</f>
        <v>03372043</v>
      </c>
      <c r="C330" t="s">
        <v>5213</v>
      </c>
      <c r="D330" t="s">
        <v>5214</v>
      </c>
      <c r="E330" t="s">
        <v>5215</v>
      </c>
      <c r="L330" t="s">
        <v>79</v>
      </c>
      <c r="M330" t="s">
        <v>72</v>
      </c>
      <c r="R330" t="s">
        <v>5216</v>
      </c>
      <c r="W330" t="s">
        <v>5215</v>
      </c>
      <c r="X330" t="s">
        <v>204</v>
      </c>
      <c r="Y330" t="s">
        <v>117</v>
      </c>
      <c r="Z330" t="s">
        <v>73</v>
      </c>
      <c r="AA330" t="str">
        <f>"14263-0001"</f>
        <v>14263-0001</v>
      </c>
      <c r="AB330" t="s">
        <v>74</v>
      </c>
      <c r="AC330" t="s">
        <v>75</v>
      </c>
      <c r="AD330" t="s">
        <v>72</v>
      </c>
      <c r="AE330" t="s">
        <v>76</v>
      </c>
      <c r="AF330" t="s">
        <v>4043</v>
      </c>
      <c r="AG330" t="s">
        <v>77</v>
      </c>
    </row>
    <row r="331" spans="1:33" x14ac:dyDescent="0.25">
      <c r="A331" t="str">
        <f>"1962485268"</f>
        <v>1962485268</v>
      </c>
      <c r="B331" t="str">
        <f>"02344030"</f>
        <v>02344030</v>
      </c>
      <c r="C331" t="s">
        <v>5217</v>
      </c>
      <c r="D331" t="s">
        <v>3580</v>
      </c>
      <c r="E331" t="s">
        <v>3581</v>
      </c>
      <c r="L331" t="s">
        <v>79</v>
      </c>
      <c r="M331" t="s">
        <v>72</v>
      </c>
      <c r="R331" t="s">
        <v>3582</v>
      </c>
      <c r="W331" t="s">
        <v>3581</v>
      </c>
      <c r="X331" t="s">
        <v>204</v>
      </c>
      <c r="Y331" t="s">
        <v>117</v>
      </c>
      <c r="Z331" t="s">
        <v>73</v>
      </c>
      <c r="AA331" t="str">
        <f>"14263-0001"</f>
        <v>14263-0001</v>
      </c>
      <c r="AB331" t="s">
        <v>74</v>
      </c>
      <c r="AC331" t="s">
        <v>75</v>
      </c>
      <c r="AD331" t="s">
        <v>72</v>
      </c>
      <c r="AE331" t="s">
        <v>76</v>
      </c>
      <c r="AF331" t="s">
        <v>4043</v>
      </c>
      <c r="AG331" t="s">
        <v>77</v>
      </c>
    </row>
    <row r="332" spans="1:33" x14ac:dyDescent="0.25">
      <c r="A332" t="str">
        <f>"1578973665"</f>
        <v>1578973665</v>
      </c>
      <c r="B332" t="str">
        <f>"03920803"</f>
        <v>03920803</v>
      </c>
      <c r="C332" t="s">
        <v>5218</v>
      </c>
      <c r="D332" t="s">
        <v>3840</v>
      </c>
      <c r="E332" t="s">
        <v>3841</v>
      </c>
      <c r="L332" t="s">
        <v>79</v>
      </c>
      <c r="M332" t="s">
        <v>72</v>
      </c>
      <c r="R332" t="s">
        <v>3842</v>
      </c>
      <c r="W332" t="s">
        <v>3843</v>
      </c>
      <c r="X332" t="s">
        <v>747</v>
      </c>
      <c r="Y332" t="s">
        <v>117</v>
      </c>
      <c r="Z332" t="s">
        <v>73</v>
      </c>
      <c r="AA332" t="str">
        <f>"14207-1816"</f>
        <v>14207-1816</v>
      </c>
      <c r="AB332" t="s">
        <v>74</v>
      </c>
      <c r="AC332" t="s">
        <v>75</v>
      </c>
      <c r="AD332" t="s">
        <v>72</v>
      </c>
      <c r="AE332" t="s">
        <v>76</v>
      </c>
      <c r="AF332" t="s">
        <v>4043</v>
      </c>
      <c r="AG332" t="s">
        <v>77</v>
      </c>
    </row>
    <row r="333" spans="1:33" x14ac:dyDescent="0.25">
      <c r="A333" t="str">
        <f>"1255756342"</f>
        <v>1255756342</v>
      </c>
      <c r="B333" t="str">
        <f>"03810299"</f>
        <v>03810299</v>
      </c>
      <c r="C333" t="s">
        <v>5219</v>
      </c>
      <c r="D333" t="s">
        <v>5220</v>
      </c>
      <c r="E333" t="s">
        <v>5221</v>
      </c>
      <c r="L333" t="s">
        <v>71</v>
      </c>
      <c r="M333" t="s">
        <v>72</v>
      </c>
      <c r="R333" t="s">
        <v>5222</v>
      </c>
      <c r="W333" t="s">
        <v>5221</v>
      </c>
      <c r="X333" t="s">
        <v>204</v>
      </c>
      <c r="Y333" t="s">
        <v>117</v>
      </c>
      <c r="Z333" t="s">
        <v>73</v>
      </c>
      <c r="AA333" t="str">
        <f>"14263-0001"</f>
        <v>14263-0001</v>
      </c>
      <c r="AB333" t="s">
        <v>74</v>
      </c>
      <c r="AC333" t="s">
        <v>75</v>
      </c>
      <c r="AD333" t="s">
        <v>72</v>
      </c>
      <c r="AE333" t="s">
        <v>76</v>
      </c>
      <c r="AF333" t="s">
        <v>4043</v>
      </c>
      <c r="AG333" t="s">
        <v>77</v>
      </c>
    </row>
    <row r="334" spans="1:33" x14ac:dyDescent="0.25">
      <c r="A334" t="str">
        <f>"1548463664"</f>
        <v>1548463664</v>
      </c>
      <c r="B334" t="str">
        <f>"02960061"</f>
        <v>02960061</v>
      </c>
      <c r="C334" t="s">
        <v>5223</v>
      </c>
      <c r="D334" t="s">
        <v>5224</v>
      </c>
      <c r="E334" t="s">
        <v>5225</v>
      </c>
      <c r="L334" t="s">
        <v>71</v>
      </c>
      <c r="M334" t="s">
        <v>72</v>
      </c>
      <c r="R334" t="s">
        <v>5226</v>
      </c>
      <c r="W334" t="s">
        <v>5227</v>
      </c>
      <c r="X334" t="s">
        <v>204</v>
      </c>
      <c r="Y334" t="s">
        <v>117</v>
      </c>
      <c r="Z334" t="s">
        <v>73</v>
      </c>
      <c r="AA334" t="str">
        <f>"14263-0001"</f>
        <v>14263-0001</v>
      </c>
      <c r="AB334" t="s">
        <v>74</v>
      </c>
      <c r="AC334" t="s">
        <v>75</v>
      </c>
      <c r="AD334" t="s">
        <v>72</v>
      </c>
      <c r="AE334" t="s">
        <v>76</v>
      </c>
      <c r="AF334" t="s">
        <v>4043</v>
      </c>
      <c r="AG334" t="s">
        <v>77</v>
      </c>
    </row>
    <row r="335" spans="1:33" x14ac:dyDescent="0.25">
      <c r="A335" t="str">
        <f>"1114900420"</f>
        <v>1114900420</v>
      </c>
      <c r="B335" t="str">
        <f>"02074308"</f>
        <v>02074308</v>
      </c>
      <c r="C335" t="s">
        <v>5228</v>
      </c>
      <c r="D335" t="s">
        <v>5229</v>
      </c>
      <c r="E335" t="s">
        <v>5230</v>
      </c>
      <c r="L335" t="s">
        <v>71</v>
      </c>
      <c r="M335" t="s">
        <v>72</v>
      </c>
      <c r="R335" t="s">
        <v>5231</v>
      </c>
      <c r="W335" t="s">
        <v>5230</v>
      </c>
      <c r="X335" t="s">
        <v>204</v>
      </c>
      <c r="Y335" t="s">
        <v>117</v>
      </c>
      <c r="Z335" t="s">
        <v>73</v>
      </c>
      <c r="AA335" t="str">
        <f>"14263-0001"</f>
        <v>14263-0001</v>
      </c>
      <c r="AB335" t="s">
        <v>74</v>
      </c>
      <c r="AC335" t="s">
        <v>75</v>
      </c>
      <c r="AD335" t="s">
        <v>72</v>
      </c>
      <c r="AE335" t="s">
        <v>76</v>
      </c>
      <c r="AF335" t="s">
        <v>4043</v>
      </c>
      <c r="AG335" t="s">
        <v>77</v>
      </c>
    </row>
    <row r="336" spans="1:33" x14ac:dyDescent="0.25">
      <c r="A336" t="str">
        <f>"1689657587"</f>
        <v>1689657587</v>
      </c>
      <c r="B336" t="str">
        <f>"02051967"</f>
        <v>02051967</v>
      </c>
      <c r="C336" t="s">
        <v>5232</v>
      </c>
      <c r="D336" t="s">
        <v>5233</v>
      </c>
      <c r="E336" t="s">
        <v>5234</v>
      </c>
      <c r="L336" t="s">
        <v>79</v>
      </c>
      <c r="M336" t="s">
        <v>72</v>
      </c>
      <c r="R336" t="s">
        <v>5235</v>
      </c>
      <c r="W336" t="s">
        <v>5234</v>
      </c>
      <c r="X336" t="s">
        <v>204</v>
      </c>
      <c r="Y336" t="s">
        <v>117</v>
      </c>
      <c r="Z336" t="s">
        <v>73</v>
      </c>
      <c r="AA336" t="str">
        <f>"14263-0001"</f>
        <v>14263-0001</v>
      </c>
      <c r="AB336" t="s">
        <v>74</v>
      </c>
      <c r="AC336" t="s">
        <v>75</v>
      </c>
      <c r="AD336" t="s">
        <v>72</v>
      </c>
      <c r="AE336" t="s">
        <v>76</v>
      </c>
      <c r="AF336" t="s">
        <v>4043</v>
      </c>
      <c r="AG336" t="s">
        <v>77</v>
      </c>
    </row>
    <row r="337" spans="1:33" x14ac:dyDescent="0.25">
      <c r="A337" t="str">
        <f>"1578579579"</f>
        <v>1578579579</v>
      </c>
      <c r="B337" t="str">
        <f>"02271218"</f>
        <v>02271218</v>
      </c>
      <c r="C337" t="s">
        <v>5236</v>
      </c>
      <c r="D337" t="s">
        <v>5237</v>
      </c>
      <c r="E337" t="s">
        <v>5238</v>
      </c>
      <c r="L337" t="s">
        <v>79</v>
      </c>
      <c r="M337" t="s">
        <v>72</v>
      </c>
      <c r="R337" t="s">
        <v>5239</v>
      </c>
      <c r="W337" t="s">
        <v>5240</v>
      </c>
      <c r="X337" t="s">
        <v>5241</v>
      </c>
      <c r="Y337" t="s">
        <v>117</v>
      </c>
      <c r="Z337" t="s">
        <v>73</v>
      </c>
      <c r="AA337" t="str">
        <f>"14209-2256"</f>
        <v>14209-2256</v>
      </c>
      <c r="AB337" t="s">
        <v>74</v>
      </c>
      <c r="AC337" t="s">
        <v>75</v>
      </c>
      <c r="AD337" t="s">
        <v>72</v>
      </c>
      <c r="AE337" t="s">
        <v>76</v>
      </c>
      <c r="AF337" t="s">
        <v>4043</v>
      </c>
      <c r="AG337" t="s">
        <v>77</v>
      </c>
    </row>
    <row r="338" spans="1:33" x14ac:dyDescent="0.25">
      <c r="A338" t="str">
        <f>"1245574086"</f>
        <v>1245574086</v>
      </c>
      <c r="B338" t="str">
        <f>"03524921"</f>
        <v>03524921</v>
      </c>
      <c r="C338" t="s">
        <v>5242</v>
      </c>
      <c r="D338" t="s">
        <v>5243</v>
      </c>
      <c r="E338" t="s">
        <v>5244</v>
      </c>
      <c r="L338" t="s">
        <v>71</v>
      </c>
      <c r="M338" t="s">
        <v>72</v>
      </c>
      <c r="R338" t="s">
        <v>5245</v>
      </c>
      <c r="W338" t="s">
        <v>5244</v>
      </c>
      <c r="X338" t="s">
        <v>204</v>
      </c>
      <c r="Y338" t="s">
        <v>117</v>
      </c>
      <c r="Z338" t="s">
        <v>73</v>
      </c>
      <c r="AA338" t="str">
        <f>"14263-0001"</f>
        <v>14263-0001</v>
      </c>
      <c r="AB338" t="s">
        <v>74</v>
      </c>
      <c r="AC338" t="s">
        <v>75</v>
      </c>
      <c r="AD338" t="s">
        <v>72</v>
      </c>
      <c r="AE338" t="s">
        <v>76</v>
      </c>
      <c r="AF338" t="s">
        <v>4043</v>
      </c>
      <c r="AG338" t="s">
        <v>77</v>
      </c>
    </row>
    <row r="339" spans="1:33" x14ac:dyDescent="0.25">
      <c r="A339" t="str">
        <f>"1801879036"</f>
        <v>1801879036</v>
      </c>
      <c r="B339" t="str">
        <f>"02339224"</f>
        <v>02339224</v>
      </c>
      <c r="C339" t="s">
        <v>5246</v>
      </c>
      <c r="D339" t="s">
        <v>5247</v>
      </c>
      <c r="E339" t="s">
        <v>5248</v>
      </c>
      <c r="L339" t="s">
        <v>79</v>
      </c>
      <c r="M339" t="s">
        <v>72</v>
      </c>
      <c r="R339" t="s">
        <v>5248</v>
      </c>
      <c r="W339" t="s">
        <v>5249</v>
      </c>
      <c r="X339" t="s">
        <v>204</v>
      </c>
      <c r="Y339" t="s">
        <v>117</v>
      </c>
      <c r="Z339" t="s">
        <v>73</v>
      </c>
      <c r="AA339" t="str">
        <f>"14263-0001"</f>
        <v>14263-0001</v>
      </c>
      <c r="AB339" t="s">
        <v>74</v>
      </c>
      <c r="AC339" t="s">
        <v>75</v>
      </c>
      <c r="AD339" t="s">
        <v>72</v>
      </c>
      <c r="AE339" t="s">
        <v>76</v>
      </c>
      <c r="AF339" t="s">
        <v>4043</v>
      </c>
      <c r="AG339" t="s">
        <v>77</v>
      </c>
    </row>
    <row r="340" spans="1:33" x14ac:dyDescent="0.25">
      <c r="A340" t="str">
        <f>"1295899094"</f>
        <v>1295899094</v>
      </c>
      <c r="B340" t="str">
        <f>"02838668"</f>
        <v>02838668</v>
      </c>
      <c r="C340" t="s">
        <v>5250</v>
      </c>
      <c r="D340" t="s">
        <v>5251</v>
      </c>
      <c r="E340" t="s">
        <v>5252</v>
      </c>
      <c r="L340" t="s">
        <v>79</v>
      </c>
      <c r="M340" t="s">
        <v>72</v>
      </c>
      <c r="R340" t="s">
        <v>5253</v>
      </c>
      <c r="W340" t="s">
        <v>5252</v>
      </c>
      <c r="X340" t="s">
        <v>625</v>
      </c>
      <c r="Y340" t="s">
        <v>326</v>
      </c>
      <c r="Z340" t="s">
        <v>73</v>
      </c>
      <c r="AA340" t="str">
        <f>"14127-1573"</f>
        <v>14127-1573</v>
      </c>
      <c r="AB340" t="s">
        <v>74</v>
      </c>
      <c r="AC340" t="s">
        <v>75</v>
      </c>
      <c r="AD340" t="s">
        <v>72</v>
      </c>
      <c r="AE340" t="s">
        <v>76</v>
      </c>
      <c r="AF340" t="s">
        <v>4043</v>
      </c>
      <c r="AG340" t="s">
        <v>77</v>
      </c>
    </row>
    <row r="341" spans="1:33" x14ac:dyDescent="0.25">
      <c r="A341" t="str">
        <f>"1235317546"</f>
        <v>1235317546</v>
      </c>
      <c r="B341" t="str">
        <f>"02952569"</f>
        <v>02952569</v>
      </c>
      <c r="C341" t="s">
        <v>5254</v>
      </c>
      <c r="D341" t="s">
        <v>5255</v>
      </c>
      <c r="E341" t="s">
        <v>5256</v>
      </c>
      <c r="L341" t="s">
        <v>71</v>
      </c>
      <c r="M341" t="s">
        <v>72</v>
      </c>
      <c r="R341" t="s">
        <v>5257</v>
      </c>
      <c r="W341" t="s">
        <v>5256</v>
      </c>
      <c r="X341" t="s">
        <v>234</v>
      </c>
      <c r="Y341" t="s">
        <v>117</v>
      </c>
      <c r="Z341" t="s">
        <v>73</v>
      </c>
      <c r="AA341" t="str">
        <f>"14220-2095"</f>
        <v>14220-2095</v>
      </c>
      <c r="AB341" t="s">
        <v>74</v>
      </c>
      <c r="AC341" t="s">
        <v>75</v>
      </c>
      <c r="AD341" t="s">
        <v>72</v>
      </c>
      <c r="AE341" t="s">
        <v>76</v>
      </c>
      <c r="AF341" t="s">
        <v>4043</v>
      </c>
      <c r="AG341" t="s">
        <v>77</v>
      </c>
    </row>
    <row r="342" spans="1:33" x14ac:dyDescent="0.25">
      <c r="A342" t="str">
        <f>"1417201294"</f>
        <v>1417201294</v>
      </c>
      <c r="B342" t="str">
        <f>"03606448"</f>
        <v>03606448</v>
      </c>
      <c r="C342" t="s">
        <v>5258</v>
      </c>
      <c r="D342" t="s">
        <v>5259</v>
      </c>
      <c r="E342" t="s">
        <v>5260</v>
      </c>
      <c r="L342" t="s">
        <v>71</v>
      </c>
      <c r="M342" t="s">
        <v>72</v>
      </c>
      <c r="R342" t="s">
        <v>5261</v>
      </c>
      <c r="W342" t="s">
        <v>5260</v>
      </c>
      <c r="X342" t="s">
        <v>204</v>
      </c>
      <c r="Y342" t="s">
        <v>117</v>
      </c>
      <c r="Z342" t="s">
        <v>73</v>
      </c>
      <c r="AA342" t="str">
        <f t="shared" ref="AA342:AA347" si="7">"14263-0001"</f>
        <v>14263-0001</v>
      </c>
      <c r="AB342" t="s">
        <v>74</v>
      </c>
      <c r="AC342" t="s">
        <v>75</v>
      </c>
      <c r="AD342" t="s">
        <v>72</v>
      </c>
      <c r="AE342" t="s">
        <v>76</v>
      </c>
      <c r="AF342" t="s">
        <v>4043</v>
      </c>
      <c r="AG342" t="s">
        <v>77</v>
      </c>
    </row>
    <row r="343" spans="1:33" x14ac:dyDescent="0.25">
      <c r="A343" t="str">
        <f>"1114900230"</f>
        <v>1114900230</v>
      </c>
      <c r="B343" t="str">
        <f>"02597886"</f>
        <v>02597886</v>
      </c>
      <c r="C343" t="s">
        <v>5262</v>
      </c>
      <c r="D343" t="s">
        <v>2743</v>
      </c>
      <c r="E343" t="s">
        <v>2744</v>
      </c>
      <c r="L343" t="s">
        <v>71</v>
      </c>
      <c r="M343" t="s">
        <v>72</v>
      </c>
      <c r="R343" t="s">
        <v>2745</v>
      </c>
      <c r="W343" t="s">
        <v>2744</v>
      </c>
      <c r="X343" t="s">
        <v>204</v>
      </c>
      <c r="Y343" t="s">
        <v>117</v>
      </c>
      <c r="Z343" t="s">
        <v>73</v>
      </c>
      <c r="AA343" t="str">
        <f t="shared" si="7"/>
        <v>14263-0001</v>
      </c>
      <c r="AB343" t="s">
        <v>74</v>
      </c>
      <c r="AC343" t="s">
        <v>75</v>
      </c>
      <c r="AD343" t="s">
        <v>72</v>
      </c>
      <c r="AE343" t="s">
        <v>76</v>
      </c>
      <c r="AF343" t="s">
        <v>4043</v>
      </c>
      <c r="AG343" t="s">
        <v>77</v>
      </c>
    </row>
    <row r="344" spans="1:33" x14ac:dyDescent="0.25">
      <c r="A344" t="str">
        <f>"1295000321"</f>
        <v>1295000321</v>
      </c>
      <c r="B344" t="str">
        <f>"03433929"</f>
        <v>03433929</v>
      </c>
      <c r="C344" t="s">
        <v>5263</v>
      </c>
      <c r="D344" t="s">
        <v>5264</v>
      </c>
      <c r="E344" t="s">
        <v>5265</v>
      </c>
      <c r="L344" t="s">
        <v>71</v>
      </c>
      <c r="M344" t="s">
        <v>72</v>
      </c>
      <c r="R344" t="s">
        <v>5266</v>
      </c>
      <c r="W344" t="s">
        <v>5265</v>
      </c>
      <c r="X344" t="s">
        <v>204</v>
      </c>
      <c r="Y344" t="s">
        <v>117</v>
      </c>
      <c r="Z344" t="s">
        <v>73</v>
      </c>
      <c r="AA344" t="str">
        <f t="shared" si="7"/>
        <v>14263-0001</v>
      </c>
      <c r="AB344" t="s">
        <v>74</v>
      </c>
      <c r="AC344" t="s">
        <v>75</v>
      </c>
      <c r="AD344" t="s">
        <v>72</v>
      </c>
      <c r="AE344" t="s">
        <v>76</v>
      </c>
      <c r="AF344" t="s">
        <v>4043</v>
      </c>
      <c r="AG344" t="s">
        <v>77</v>
      </c>
    </row>
    <row r="345" spans="1:33" x14ac:dyDescent="0.25">
      <c r="A345" t="str">
        <f>"1821303140"</f>
        <v>1821303140</v>
      </c>
      <c r="B345" t="str">
        <f>"03495943"</f>
        <v>03495943</v>
      </c>
      <c r="C345" t="s">
        <v>5267</v>
      </c>
      <c r="D345" t="s">
        <v>5268</v>
      </c>
      <c r="E345" t="s">
        <v>5269</v>
      </c>
      <c r="L345" t="s">
        <v>71</v>
      </c>
      <c r="M345" t="s">
        <v>72</v>
      </c>
      <c r="R345" t="s">
        <v>5270</v>
      </c>
      <c r="W345" t="s">
        <v>5269</v>
      </c>
      <c r="X345" t="s">
        <v>204</v>
      </c>
      <c r="Y345" t="s">
        <v>117</v>
      </c>
      <c r="Z345" t="s">
        <v>73</v>
      </c>
      <c r="AA345" t="str">
        <f t="shared" si="7"/>
        <v>14263-0001</v>
      </c>
      <c r="AB345" t="s">
        <v>74</v>
      </c>
      <c r="AC345" t="s">
        <v>75</v>
      </c>
      <c r="AD345" t="s">
        <v>72</v>
      </c>
      <c r="AE345" t="s">
        <v>76</v>
      </c>
      <c r="AF345" t="s">
        <v>4043</v>
      </c>
      <c r="AG345" t="s">
        <v>77</v>
      </c>
    </row>
    <row r="346" spans="1:33" x14ac:dyDescent="0.25">
      <c r="A346" t="str">
        <f>"1780900191"</f>
        <v>1780900191</v>
      </c>
      <c r="B346" t="str">
        <f>"03883401"</f>
        <v>03883401</v>
      </c>
      <c r="C346" t="s">
        <v>5271</v>
      </c>
      <c r="D346" t="s">
        <v>5272</v>
      </c>
      <c r="E346" t="s">
        <v>5273</v>
      </c>
      <c r="L346" t="s">
        <v>71</v>
      </c>
      <c r="M346" t="s">
        <v>72</v>
      </c>
      <c r="R346" t="s">
        <v>5274</v>
      </c>
      <c r="W346" t="s">
        <v>5275</v>
      </c>
      <c r="X346" t="s">
        <v>204</v>
      </c>
      <c r="Y346" t="s">
        <v>117</v>
      </c>
      <c r="Z346" t="s">
        <v>73</v>
      </c>
      <c r="AA346" t="str">
        <f t="shared" si="7"/>
        <v>14263-0001</v>
      </c>
      <c r="AB346" t="s">
        <v>74</v>
      </c>
      <c r="AC346" t="s">
        <v>75</v>
      </c>
      <c r="AD346" t="s">
        <v>72</v>
      </c>
      <c r="AE346" t="s">
        <v>76</v>
      </c>
      <c r="AF346" t="s">
        <v>4043</v>
      </c>
      <c r="AG346" t="s">
        <v>77</v>
      </c>
    </row>
    <row r="347" spans="1:33" x14ac:dyDescent="0.25">
      <c r="A347" t="str">
        <f>"1659325546"</f>
        <v>1659325546</v>
      </c>
      <c r="B347" t="str">
        <f>"02136689"</f>
        <v>02136689</v>
      </c>
      <c r="C347" t="s">
        <v>5276</v>
      </c>
      <c r="D347" t="s">
        <v>5277</v>
      </c>
      <c r="E347" t="s">
        <v>5278</v>
      </c>
      <c r="L347" t="s">
        <v>71</v>
      </c>
      <c r="M347" t="s">
        <v>72</v>
      </c>
      <c r="R347" t="s">
        <v>5279</v>
      </c>
      <c r="W347" t="s">
        <v>5278</v>
      </c>
      <c r="X347" t="s">
        <v>204</v>
      </c>
      <c r="Y347" t="s">
        <v>117</v>
      </c>
      <c r="Z347" t="s">
        <v>73</v>
      </c>
      <c r="AA347" t="str">
        <f t="shared" si="7"/>
        <v>14263-0001</v>
      </c>
      <c r="AB347" t="s">
        <v>74</v>
      </c>
      <c r="AC347" t="s">
        <v>75</v>
      </c>
      <c r="AD347" t="s">
        <v>72</v>
      </c>
      <c r="AE347" t="s">
        <v>76</v>
      </c>
      <c r="AF347" t="s">
        <v>4043</v>
      </c>
      <c r="AG347" t="s">
        <v>77</v>
      </c>
    </row>
    <row r="348" spans="1:33" x14ac:dyDescent="0.25">
      <c r="A348" t="str">
        <f>"1952633059"</f>
        <v>1952633059</v>
      </c>
      <c r="B348" t="str">
        <f>"03193964"</f>
        <v>03193964</v>
      </c>
      <c r="C348" t="s">
        <v>5280</v>
      </c>
      <c r="D348" t="s">
        <v>3379</v>
      </c>
      <c r="E348" t="s">
        <v>3380</v>
      </c>
      <c r="L348" t="s">
        <v>71</v>
      </c>
      <c r="M348" t="s">
        <v>72</v>
      </c>
      <c r="R348" t="s">
        <v>3381</v>
      </c>
      <c r="W348" t="s">
        <v>3380</v>
      </c>
      <c r="X348" t="s">
        <v>3382</v>
      </c>
      <c r="Y348" t="s">
        <v>237</v>
      </c>
      <c r="Z348" t="s">
        <v>73</v>
      </c>
      <c r="AA348" t="str">
        <f>"14224-3434"</f>
        <v>14224-3434</v>
      </c>
      <c r="AB348" t="s">
        <v>74</v>
      </c>
      <c r="AC348" t="s">
        <v>75</v>
      </c>
      <c r="AD348" t="s">
        <v>72</v>
      </c>
      <c r="AE348" t="s">
        <v>76</v>
      </c>
      <c r="AF348" t="s">
        <v>3974</v>
      </c>
      <c r="AG348" t="s">
        <v>77</v>
      </c>
    </row>
    <row r="349" spans="1:33" x14ac:dyDescent="0.25">
      <c r="A349" t="str">
        <f>"1609097914"</f>
        <v>1609097914</v>
      </c>
      <c r="B349" t="str">
        <f>"02877810"</f>
        <v>02877810</v>
      </c>
      <c r="C349" t="s">
        <v>5281</v>
      </c>
      <c r="D349" t="s">
        <v>5282</v>
      </c>
      <c r="E349" t="s">
        <v>5283</v>
      </c>
      <c r="L349" t="s">
        <v>71</v>
      </c>
      <c r="M349" t="s">
        <v>72</v>
      </c>
      <c r="R349" t="s">
        <v>5284</v>
      </c>
      <c r="W349" t="s">
        <v>5283</v>
      </c>
      <c r="X349" t="s">
        <v>204</v>
      </c>
      <c r="Y349" t="s">
        <v>117</v>
      </c>
      <c r="Z349" t="s">
        <v>73</v>
      </c>
      <c r="AA349" t="str">
        <f>"14263-0001"</f>
        <v>14263-0001</v>
      </c>
      <c r="AB349" t="s">
        <v>74</v>
      </c>
      <c r="AC349" t="s">
        <v>75</v>
      </c>
      <c r="AD349" t="s">
        <v>72</v>
      </c>
      <c r="AE349" t="s">
        <v>76</v>
      </c>
      <c r="AF349" t="s">
        <v>4043</v>
      </c>
      <c r="AG349" t="s">
        <v>77</v>
      </c>
    </row>
    <row r="350" spans="1:33" x14ac:dyDescent="0.25">
      <c r="A350" t="str">
        <f>"1477706406"</f>
        <v>1477706406</v>
      </c>
      <c r="B350" t="str">
        <f>"03116194"</f>
        <v>03116194</v>
      </c>
      <c r="C350" t="s">
        <v>5285</v>
      </c>
      <c r="D350" t="s">
        <v>5286</v>
      </c>
      <c r="E350" t="s">
        <v>5287</v>
      </c>
      <c r="L350" t="s">
        <v>71</v>
      </c>
      <c r="M350" t="s">
        <v>72</v>
      </c>
      <c r="R350" t="s">
        <v>5288</v>
      </c>
      <c r="W350" t="s">
        <v>5287</v>
      </c>
      <c r="X350" t="s">
        <v>204</v>
      </c>
      <c r="Y350" t="s">
        <v>117</v>
      </c>
      <c r="Z350" t="s">
        <v>73</v>
      </c>
      <c r="AA350" t="str">
        <f>"14263-0001"</f>
        <v>14263-0001</v>
      </c>
      <c r="AB350" t="s">
        <v>74</v>
      </c>
      <c r="AC350" t="s">
        <v>75</v>
      </c>
      <c r="AD350" t="s">
        <v>72</v>
      </c>
      <c r="AE350" t="s">
        <v>76</v>
      </c>
      <c r="AF350" t="s">
        <v>4043</v>
      </c>
      <c r="AG350" t="s">
        <v>77</v>
      </c>
    </row>
    <row r="351" spans="1:33" x14ac:dyDescent="0.25">
      <c r="A351" t="str">
        <f>"1407012016"</f>
        <v>1407012016</v>
      </c>
      <c r="B351" t="str">
        <f>"03624095"</f>
        <v>03624095</v>
      </c>
      <c r="C351" t="s">
        <v>5289</v>
      </c>
      <c r="D351" t="s">
        <v>1482</v>
      </c>
      <c r="E351" t="s">
        <v>1483</v>
      </c>
      <c r="L351" t="s">
        <v>79</v>
      </c>
      <c r="M351" t="s">
        <v>72</v>
      </c>
      <c r="R351" t="s">
        <v>1483</v>
      </c>
      <c r="W351" t="s">
        <v>1483</v>
      </c>
      <c r="X351" t="s">
        <v>173</v>
      </c>
      <c r="Y351" t="s">
        <v>117</v>
      </c>
      <c r="Z351" t="s">
        <v>73</v>
      </c>
      <c r="AA351" t="str">
        <f>"14222-2006"</f>
        <v>14222-2006</v>
      </c>
      <c r="AB351" t="s">
        <v>74</v>
      </c>
      <c r="AC351" t="s">
        <v>75</v>
      </c>
      <c r="AD351" t="s">
        <v>72</v>
      </c>
      <c r="AE351" t="s">
        <v>76</v>
      </c>
      <c r="AF351" t="s">
        <v>4043</v>
      </c>
      <c r="AG351" t="s">
        <v>77</v>
      </c>
    </row>
    <row r="352" spans="1:33" x14ac:dyDescent="0.25">
      <c r="A352" t="str">
        <f>"1144543455"</f>
        <v>1144543455</v>
      </c>
      <c r="B352" t="str">
        <f>"03237794"</f>
        <v>03237794</v>
      </c>
      <c r="C352" t="s">
        <v>5290</v>
      </c>
      <c r="D352" t="s">
        <v>2212</v>
      </c>
      <c r="E352" t="s">
        <v>2213</v>
      </c>
      <c r="L352" t="s">
        <v>79</v>
      </c>
      <c r="M352" t="s">
        <v>72</v>
      </c>
      <c r="R352" t="s">
        <v>2214</v>
      </c>
      <c r="W352" t="s">
        <v>2213</v>
      </c>
      <c r="X352" t="s">
        <v>204</v>
      </c>
      <c r="Y352" t="s">
        <v>117</v>
      </c>
      <c r="Z352" t="s">
        <v>73</v>
      </c>
      <c r="AA352" t="str">
        <f>"14263-0001"</f>
        <v>14263-0001</v>
      </c>
      <c r="AB352" t="s">
        <v>74</v>
      </c>
      <c r="AC352" t="s">
        <v>75</v>
      </c>
      <c r="AD352" t="s">
        <v>72</v>
      </c>
      <c r="AE352" t="s">
        <v>76</v>
      </c>
      <c r="AF352" t="s">
        <v>4043</v>
      </c>
      <c r="AG352" t="s">
        <v>77</v>
      </c>
    </row>
    <row r="353" spans="1:33" x14ac:dyDescent="0.25">
      <c r="A353" t="str">
        <f>"1376549683"</f>
        <v>1376549683</v>
      </c>
      <c r="B353" t="str">
        <f>"01548838"</f>
        <v>01548838</v>
      </c>
      <c r="C353" t="s">
        <v>5291</v>
      </c>
      <c r="D353" t="s">
        <v>1913</v>
      </c>
      <c r="E353" t="s">
        <v>1914</v>
      </c>
      <c r="L353" t="s">
        <v>79</v>
      </c>
      <c r="M353" t="s">
        <v>72</v>
      </c>
      <c r="R353" t="s">
        <v>1915</v>
      </c>
      <c r="W353" t="s">
        <v>1914</v>
      </c>
      <c r="X353" t="s">
        <v>1916</v>
      </c>
      <c r="Y353" t="s">
        <v>117</v>
      </c>
      <c r="Z353" t="s">
        <v>73</v>
      </c>
      <c r="AA353" t="str">
        <f>"14263-0001"</f>
        <v>14263-0001</v>
      </c>
      <c r="AB353" t="s">
        <v>74</v>
      </c>
      <c r="AC353" t="s">
        <v>75</v>
      </c>
      <c r="AD353" t="s">
        <v>72</v>
      </c>
      <c r="AE353" t="s">
        <v>76</v>
      </c>
      <c r="AF353" t="s">
        <v>4043</v>
      </c>
      <c r="AG353" t="s">
        <v>77</v>
      </c>
    </row>
    <row r="354" spans="1:33" x14ac:dyDescent="0.25">
      <c r="A354" t="str">
        <f>"1457418683"</f>
        <v>1457418683</v>
      </c>
      <c r="B354" t="str">
        <f>"00769324"</f>
        <v>00769324</v>
      </c>
      <c r="C354" t="s">
        <v>5097</v>
      </c>
      <c r="D354" t="s">
        <v>476</v>
      </c>
      <c r="E354" t="s">
        <v>474</v>
      </c>
      <c r="G354" t="s">
        <v>475</v>
      </c>
      <c r="H354" t="s">
        <v>5098</v>
      </c>
      <c r="J354" t="s">
        <v>5099</v>
      </c>
      <c r="L354" t="s">
        <v>95</v>
      </c>
      <c r="M354" t="s">
        <v>72</v>
      </c>
      <c r="R354" t="s">
        <v>94</v>
      </c>
      <c r="W354" t="s">
        <v>474</v>
      </c>
      <c r="X354" t="s">
        <v>477</v>
      </c>
      <c r="Y354" t="s">
        <v>237</v>
      </c>
      <c r="Z354" t="s">
        <v>73</v>
      </c>
      <c r="AA354" t="str">
        <f>"14224-3604"</f>
        <v>14224-3604</v>
      </c>
      <c r="AB354" t="s">
        <v>86</v>
      </c>
      <c r="AC354" t="s">
        <v>75</v>
      </c>
      <c r="AD354" t="s">
        <v>72</v>
      </c>
      <c r="AE354" t="s">
        <v>76</v>
      </c>
      <c r="AF354" t="s">
        <v>4879</v>
      </c>
      <c r="AG354" t="s">
        <v>77</v>
      </c>
    </row>
    <row r="355" spans="1:33" x14ac:dyDescent="0.25">
      <c r="A355" t="str">
        <f>"1043260664"</f>
        <v>1043260664</v>
      </c>
      <c r="B355" t="str">
        <f>"01209778"</f>
        <v>01209778</v>
      </c>
      <c r="C355" t="s">
        <v>5292</v>
      </c>
      <c r="D355" t="s">
        <v>2988</v>
      </c>
      <c r="E355" t="s">
        <v>2989</v>
      </c>
      <c r="G355" t="s">
        <v>5292</v>
      </c>
      <c r="H355" t="s">
        <v>1131</v>
      </c>
      <c r="J355" t="s">
        <v>5293</v>
      </c>
      <c r="L355" t="s">
        <v>79</v>
      </c>
      <c r="M355" t="s">
        <v>72</v>
      </c>
      <c r="R355" t="s">
        <v>2990</v>
      </c>
      <c r="W355" t="s">
        <v>2991</v>
      </c>
      <c r="X355" t="s">
        <v>169</v>
      </c>
      <c r="Y355" t="s">
        <v>117</v>
      </c>
      <c r="Z355" t="s">
        <v>73</v>
      </c>
      <c r="AA355" t="str">
        <f>"14209-1120"</f>
        <v>14209-1120</v>
      </c>
      <c r="AB355" t="s">
        <v>74</v>
      </c>
      <c r="AC355" t="s">
        <v>75</v>
      </c>
      <c r="AD355" t="s">
        <v>72</v>
      </c>
      <c r="AE355" t="s">
        <v>76</v>
      </c>
      <c r="AG355" t="s">
        <v>77</v>
      </c>
    </row>
    <row r="356" spans="1:33" x14ac:dyDescent="0.25">
      <c r="A356" t="str">
        <f>"1992962302"</f>
        <v>1992962302</v>
      </c>
      <c r="B356" t="str">
        <f>"03138965"</f>
        <v>03138965</v>
      </c>
      <c r="C356" t="s">
        <v>5294</v>
      </c>
      <c r="D356" t="s">
        <v>5295</v>
      </c>
      <c r="E356" t="s">
        <v>5296</v>
      </c>
      <c r="G356" t="s">
        <v>5297</v>
      </c>
      <c r="H356" t="s">
        <v>2793</v>
      </c>
      <c r="J356" t="s">
        <v>5298</v>
      </c>
      <c r="L356" t="s">
        <v>79</v>
      </c>
      <c r="M356" t="s">
        <v>72</v>
      </c>
      <c r="R356" t="s">
        <v>5299</v>
      </c>
      <c r="W356" t="s">
        <v>5296</v>
      </c>
      <c r="X356" t="s">
        <v>5300</v>
      </c>
      <c r="Y356" t="s">
        <v>117</v>
      </c>
      <c r="Z356" t="s">
        <v>73</v>
      </c>
      <c r="AA356" t="str">
        <f>"14214-2673"</f>
        <v>14214-2673</v>
      </c>
      <c r="AB356" t="s">
        <v>74</v>
      </c>
      <c r="AC356" t="s">
        <v>75</v>
      </c>
      <c r="AD356" t="s">
        <v>72</v>
      </c>
      <c r="AE356" t="s">
        <v>76</v>
      </c>
      <c r="AF356" t="s">
        <v>3974</v>
      </c>
      <c r="AG356" t="s">
        <v>77</v>
      </c>
    </row>
    <row r="357" spans="1:33" x14ac:dyDescent="0.25">
      <c r="A357" t="str">
        <f>"1285817841"</f>
        <v>1285817841</v>
      </c>
      <c r="B357" t="str">
        <f>"02936285"</f>
        <v>02936285</v>
      </c>
      <c r="C357" t="s">
        <v>5301</v>
      </c>
      <c r="D357" t="s">
        <v>5302</v>
      </c>
      <c r="E357" t="s">
        <v>5303</v>
      </c>
      <c r="G357" t="s">
        <v>5304</v>
      </c>
      <c r="H357" t="s">
        <v>5305</v>
      </c>
      <c r="J357" t="s">
        <v>5306</v>
      </c>
      <c r="L357" t="s">
        <v>84</v>
      </c>
      <c r="M357" t="s">
        <v>72</v>
      </c>
      <c r="R357" t="s">
        <v>5303</v>
      </c>
      <c r="W357" t="s">
        <v>5307</v>
      </c>
      <c r="X357" t="s">
        <v>243</v>
      </c>
      <c r="Y357" t="s">
        <v>117</v>
      </c>
      <c r="Z357" t="s">
        <v>73</v>
      </c>
      <c r="AA357" t="str">
        <f>"14203-1126"</f>
        <v>14203-1126</v>
      </c>
      <c r="AB357" t="s">
        <v>74</v>
      </c>
      <c r="AC357" t="s">
        <v>75</v>
      </c>
      <c r="AD357" t="s">
        <v>72</v>
      </c>
      <c r="AE357" t="s">
        <v>76</v>
      </c>
      <c r="AF357" t="s">
        <v>3974</v>
      </c>
      <c r="AG357" t="s">
        <v>77</v>
      </c>
    </row>
    <row r="358" spans="1:33" x14ac:dyDescent="0.25">
      <c r="A358" t="str">
        <f>"1194915116"</f>
        <v>1194915116</v>
      </c>
      <c r="B358" t="str">
        <f>"02905668"</f>
        <v>02905668</v>
      </c>
      <c r="C358" t="s">
        <v>5308</v>
      </c>
      <c r="D358" t="s">
        <v>5309</v>
      </c>
      <c r="E358" t="s">
        <v>5310</v>
      </c>
      <c r="G358" t="s">
        <v>4066</v>
      </c>
      <c r="H358" t="s">
        <v>5311</v>
      </c>
      <c r="J358" t="s">
        <v>5312</v>
      </c>
      <c r="L358" t="s">
        <v>71</v>
      </c>
      <c r="M358" t="s">
        <v>72</v>
      </c>
      <c r="R358" t="s">
        <v>5313</v>
      </c>
      <c r="W358" t="s">
        <v>5310</v>
      </c>
      <c r="X358" t="s">
        <v>234</v>
      </c>
      <c r="Y358" t="s">
        <v>117</v>
      </c>
      <c r="Z358" t="s">
        <v>73</v>
      </c>
      <c r="AA358" t="str">
        <f>"14220-2039"</f>
        <v>14220-2039</v>
      </c>
      <c r="AB358" t="s">
        <v>74</v>
      </c>
      <c r="AC358" t="s">
        <v>75</v>
      </c>
      <c r="AD358" t="s">
        <v>72</v>
      </c>
      <c r="AE358" t="s">
        <v>76</v>
      </c>
      <c r="AF358" t="s">
        <v>3974</v>
      </c>
      <c r="AG358" t="s">
        <v>77</v>
      </c>
    </row>
    <row r="359" spans="1:33" x14ac:dyDescent="0.25">
      <c r="A359" t="str">
        <f>"1003850876"</f>
        <v>1003850876</v>
      </c>
      <c r="B359" t="str">
        <f>"00589886"</f>
        <v>00589886</v>
      </c>
      <c r="C359" t="s">
        <v>5314</v>
      </c>
      <c r="D359" t="s">
        <v>5315</v>
      </c>
      <c r="E359" t="s">
        <v>5316</v>
      </c>
      <c r="G359" t="s">
        <v>3988</v>
      </c>
      <c r="H359" t="s">
        <v>5317</v>
      </c>
      <c r="J359" t="s">
        <v>3989</v>
      </c>
      <c r="L359" t="s">
        <v>71</v>
      </c>
      <c r="M359" t="s">
        <v>72</v>
      </c>
      <c r="R359" t="s">
        <v>5318</v>
      </c>
      <c r="W359" t="s">
        <v>5316</v>
      </c>
      <c r="X359" t="s">
        <v>1529</v>
      </c>
      <c r="Y359" t="s">
        <v>117</v>
      </c>
      <c r="Z359" t="s">
        <v>73</v>
      </c>
      <c r="AA359" t="str">
        <f>"14221-7717"</f>
        <v>14221-7717</v>
      </c>
      <c r="AB359" t="s">
        <v>74</v>
      </c>
      <c r="AC359" t="s">
        <v>75</v>
      </c>
      <c r="AD359" t="s">
        <v>72</v>
      </c>
      <c r="AE359" t="s">
        <v>76</v>
      </c>
      <c r="AF359" t="s">
        <v>3974</v>
      </c>
      <c r="AG359" t="s">
        <v>77</v>
      </c>
    </row>
    <row r="360" spans="1:33" x14ac:dyDescent="0.25">
      <c r="A360" t="str">
        <f>"1215935952"</f>
        <v>1215935952</v>
      </c>
      <c r="B360" t="str">
        <f>"01498315"</f>
        <v>01498315</v>
      </c>
      <c r="C360" t="s">
        <v>5319</v>
      </c>
      <c r="D360" t="s">
        <v>5320</v>
      </c>
      <c r="E360" t="s">
        <v>5321</v>
      </c>
      <c r="G360" t="s">
        <v>5322</v>
      </c>
      <c r="H360" t="s">
        <v>3081</v>
      </c>
      <c r="J360" t="s">
        <v>5323</v>
      </c>
      <c r="L360" t="s">
        <v>79</v>
      </c>
      <c r="M360" t="s">
        <v>72</v>
      </c>
      <c r="R360" t="s">
        <v>5324</v>
      </c>
      <c r="W360" t="s">
        <v>5325</v>
      </c>
      <c r="X360" t="s">
        <v>2798</v>
      </c>
      <c r="Y360" t="s">
        <v>117</v>
      </c>
      <c r="Z360" t="s">
        <v>73</v>
      </c>
      <c r="AA360" t="str">
        <f>"14214-2648"</f>
        <v>14214-2648</v>
      </c>
      <c r="AB360" t="s">
        <v>74</v>
      </c>
      <c r="AC360" t="s">
        <v>75</v>
      </c>
      <c r="AD360" t="s">
        <v>72</v>
      </c>
      <c r="AE360" t="s">
        <v>76</v>
      </c>
      <c r="AF360" t="s">
        <v>3974</v>
      </c>
      <c r="AG360" t="s">
        <v>77</v>
      </c>
    </row>
    <row r="361" spans="1:33" x14ac:dyDescent="0.25">
      <c r="A361" t="str">
        <f>"1497717888"</f>
        <v>1497717888</v>
      </c>
      <c r="B361" t="str">
        <f>"01683783"</f>
        <v>01683783</v>
      </c>
      <c r="C361" t="s">
        <v>5326</v>
      </c>
      <c r="D361" t="s">
        <v>577</v>
      </c>
      <c r="E361" t="s">
        <v>578</v>
      </c>
      <c r="G361" t="s">
        <v>5327</v>
      </c>
      <c r="H361" t="s">
        <v>579</v>
      </c>
      <c r="J361" t="s">
        <v>5328</v>
      </c>
      <c r="L361" t="s">
        <v>80</v>
      </c>
      <c r="M361" t="s">
        <v>72</v>
      </c>
      <c r="R361" t="s">
        <v>580</v>
      </c>
      <c r="W361" t="s">
        <v>580</v>
      </c>
      <c r="X361" t="s">
        <v>581</v>
      </c>
      <c r="Y361" t="s">
        <v>117</v>
      </c>
      <c r="Z361" t="s">
        <v>73</v>
      </c>
      <c r="AA361" t="str">
        <f>"14202-1309"</f>
        <v>14202-1309</v>
      </c>
      <c r="AB361" t="s">
        <v>74</v>
      </c>
      <c r="AC361" t="s">
        <v>75</v>
      </c>
      <c r="AD361" t="s">
        <v>72</v>
      </c>
      <c r="AE361" t="s">
        <v>76</v>
      </c>
      <c r="AF361" t="s">
        <v>3961</v>
      </c>
      <c r="AG361" t="s">
        <v>77</v>
      </c>
    </row>
    <row r="362" spans="1:33" x14ac:dyDescent="0.25">
      <c r="A362" t="str">
        <f>"1144422296"</f>
        <v>1144422296</v>
      </c>
      <c r="B362" t="str">
        <f>"02887805"</f>
        <v>02887805</v>
      </c>
      <c r="C362" t="s">
        <v>5329</v>
      </c>
      <c r="D362" t="s">
        <v>2072</v>
      </c>
      <c r="E362" t="s">
        <v>2073</v>
      </c>
      <c r="G362" t="s">
        <v>5019</v>
      </c>
      <c r="H362" t="s">
        <v>1681</v>
      </c>
      <c r="J362" t="s">
        <v>5020</v>
      </c>
      <c r="L362" t="s">
        <v>79</v>
      </c>
      <c r="M362" t="s">
        <v>72</v>
      </c>
      <c r="R362" t="s">
        <v>2074</v>
      </c>
      <c r="W362" t="s">
        <v>2073</v>
      </c>
      <c r="X362" t="s">
        <v>391</v>
      </c>
      <c r="Y362" t="s">
        <v>733</v>
      </c>
      <c r="Z362" t="s">
        <v>73</v>
      </c>
      <c r="AA362" t="str">
        <f>"14120-6150"</f>
        <v>14120-6150</v>
      </c>
      <c r="AB362" t="s">
        <v>74</v>
      </c>
      <c r="AC362" t="s">
        <v>75</v>
      </c>
      <c r="AD362" t="s">
        <v>72</v>
      </c>
      <c r="AE362" t="s">
        <v>76</v>
      </c>
      <c r="AF362" t="s">
        <v>3961</v>
      </c>
      <c r="AG362" t="s">
        <v>77</v>
      </c>
    </row>
    <row r="363" spans="1:33" x14ac:dyDescent="0.25">
      <c r="A363" t="str">
        <f>"1245494574"</f>
        <v>1245494574</v>
      </c>
      <c r="B363" t="str">
        <f>"03524389"</f>
        <v>03524389</v>
      </c>
      <c r="C363" t="s">
        <v>5330</v>
      </c>
      <c r="D363" t="s">
        <v>5331</v>
      </c>
      <c r="E363" t="s">
        <v>5332</v>
      </c>
      <c r="G363" t="s">
        <v>4066</v>
      </c>
      <c r="H363" t="s">
        <v>5311</v>
      </c>
      <c r="J363" t="s">
        <v>5312</v>
      </c>
      <c r="L363" t="s">
        <v>71</v>
      </c>
      <c r="M363" t="s">
        <v>72</v>
      </c>
      <c r="R363" t="s">
        <v>5333</v>
      </c>
      <c r="W363" t="s">
        <v>5332</v>
      </c>
      <c r="X363" t="s">
        <v>246</v>
      </c>
      <c r="Y363" t="s">
        <v>247</v>
      </c>
      <c r="Z363" t="s">
        <v>73</v>
      </c>
      <c r="AA363" t="str">
        <f>"14225-4018"</f>
        <v>14225-4018</v>
      </c>
      <c r="AB363" t="s">
        <v>74</v>
      </c>
      <c r="AC363" t="s">
        <v>75</v>
      </c>
      <c r="AD363" t="s">
        <v>72</v>
      </c>
      <c r="AE363" t="s">
        <v>76</v>
      </c>
      <c r="AF363" t="s">
        <v>3974</v>
      </c>
      <c r="AG363" t="s">
        <v>77</v>
      </c>
    </row>
    <row r="364" spans="1:33" x14ac:dyDescent="0.25">
      <c r="A364" t="str">
        <f>"1972705077"</f>
        <v>1972705077</v>
      </c>
      <c r="B364" t="str">
        <f>"03353986"</f>
        <v>03353986</v>
      </c>
      <c r="C364" t="s">
        <v>5334</v>
      </c>
      <c r="D364" t="s">
        <v>1321</v>
      </c>
      <c r="E364" t="s">
        <v>1322</v>
      </c>
      <c r="G364" t="s">
        <v>5335</v>
      </c>
      <c r="H364" t="s">
        <v>5336</v>
      </c>
      <c r="J364" t="s">
        <v>5337</v>
      </c>
      <c r="L364" t="s">
        <v>79</v>
      </c>
      <c r="M364" t="s">
        <v>72</v>
      </c>
      <c r="R364" t="s">
        <v>1323</v>
      </c>
      <c r="W364" t="s">
        <v>1322</v>
      </c>
      <c r="X364" t="s">
        <v>1324</v>
      </c>
      <c r="Y364" t="s">
        <v>1325</v>
      </c>
      <c r="Z364" t="s">
        <v>73</v>
      </c>
      <c r="AA364" t="str">
        <f>"14221-7800"</f>
        <v>14221-7800</v>
      </c>
      <c r="AB364" t="s">
        <v>74</v>
      </c>
      <c r="AC364" t="s">
        <v>75</v>
      </c>
      <c r="AD364" t="s">
        <v>72</v>
      </c>
      <c r="AE364" t="s">
        <v>76</v>
      </c>
      <c r="AF364" t="s">
        <v>3974</v>
      </c>
      <c r="AG364" t="s">
        <v>77</v>
      </c>
    </row>
    <row r="365" spans="1:33" x14ac:dyDescent="0.25">
      <c r="A365" t="str">
        <f>"1548315401"</f>
        <v>1548315401</v>
      </c>
      <c r="B365" t="str">
        <f>"00354518"</f>
        <v>00354518</v>
      </c>
      <c r="C365" t="s">
        <v>5338</v>
      </c>
      <c r="D365" t="s">
        <v>761</v>
      </c>
      <c r="E365" t="s">
        <v>762</v>
      </c>
      <c r="G365" t="s">
        <v>5339</v>
      </c>
      <c r="H365" t="s">
        <v>5340</v>
      </c>
      <c r="J365" t="s">
        <v>5341</v>
      </c>
      <c r="L365" t="s">
        <v>251</v>
      </c>
      <c r="M365" t="s">
        <v>81</v>
      </c>
      <c r="R365" t="s">
        <v>760</v>
      </c>
      <c r="W365" t="s">
        <v>762</v>
      </c>
      <c r="X365" t="s">
        <v>204</v>
      </c>
      <c r="Y365" t="s">
        <v>117</v>
      </c>
      <c r="Z365" t="s">
        <v>73</v>
      </c>
      <c r="AA365" t="str">
        <f>"14263-0001"</f>
        <v>14263-0001</v>
      </c>
      <c r="AB365" t="s">
        <v>86</v>
      </c>
      <c r="AC365" t="s">
        <v>75</v>
      </c>
      <c r="AD365" t="s">
        <v>72</v>
      </c>
      <c r="AE365" t="s">
        <v>76</v>
      </c>
      <c r="AF365" t="s">
        <v>3986</v>
      </c>
      <c r="AG365" t="s">
        <v>77</v>
      </c>
    </row>
    <row r="366" spans="1:33" x14ac:dyDescent="0.25">
      <c r="A366" t="str">
        <f>"1306180443"</f>
        <v>1306180443</v>
      </c>
      <c r="B366" t="str">
        <f>"03587299"</f>
        <v>03587299</v>
      </c>
      <c r="C366" t="s">
        <v>5342</v>
      </c>
      <c r="D366" t="s">
        <v>5343</v>
      </c>
      <c r="E366" t="s">
        <v>5344</v>
      </c>
      <c r="G366" t="s">
        <v>5339</v>
      </c>
      <c r="H366" t="s">
        <v>5340</v>
      </c>
      <c r="J366" t="s">
        <v>5341</v>
      </c>
      <c r="L366" t="s">
        <v>35</v>
      </c>
      <c r="M366" t="s">
        <v>72</v>
      </c>
      <c r="R366" t="s">
        <v>5344</v>
      </c>
      <c r="W366" t="s">
        <v>5344</v>
      </c>
      <c r="X366" t="s">
        <v>5345</v>
      </c>
      <c r="Y366" t="s">
        <v>242</v>
      </c>
      <c r="Z366" t="s">
        <v>73</v>
      </c>
      <c r="AA366" t="str">
        <f>"14701-6247"</f>
        <v>14701-6247</v>
      </c>
      <c r="AB366" t="s">
        <v>112</v>
      </c>
      <c r="AC366" t="s">
        <v>75</v>
      </c>
      <c r="AD366" t="s">
        <v>72</v>
      </c>
      <c r="AE366" t="s">
        <v>76</v>
      </c>
      <c r="AF366" t="s">
        <v>3986</v>
      </c>
      <c r="AG366" t="s">
        <v>77</v>
      </c>
    </row>
    <row r="367" spans="1:33" x14ac:dyDescent="0.25">
      <c r="A367" t="str">
        <f>"1346275351"</f>
        <v>1346275351</v>
      </c>
      <c r="B367" t="str">
        <f>"00602213"</f>
        <v>00602213</v>
      </c>
      <c r="C367" t="s">
        <v>5346</v>
      </c>
      <c r="D367" t="s">
        <v>1836</v>
      </c>
      <c r="E367" t="s">
        <v>1837</v>
      </c>
      <c r="G367" t="s">
        <v>5346</v>
      </c>
      <c r="H367" t="s">
        <v>1838</v>
      </c>
      <c r="J367" t="s">
        <v>5347</v>
      </c>
      <c r="L367" t="s">
        <v>79</v>
      </c>
      <c r="M367" t="s">
        <v>72</v>
      </c>
      <c r="R367" t="s">
        <v>1839</v>
      </c>
      <c r="W367" t="s">
        <v>1837</v>
      </c>
      <c r="X367" t="s">
        <v>1840</v>
      </c>
      <c r="Y367" t="s">
        <v>247</v>
      </c>
      <c r="Z367" t="s">
        <v>73</v>
      </c>
      <c r="AA367" t="str">
        <f>"14227-3530"</f>
        <v>14227-3530</v>
      </c>
      <c r="AB367" t="s">
        <v>113</v>
      </c>
      <c r="AC367" t="s">
        <v>75</v>
      </c>
      <c r="AD367" t="s">
        <v>72</v>
      </c>
      <c r="AE367" t="s">
        <v>76</v>
      </c>
      <c r="AF367" t="s">
        <v>3974</v>
      </c>
      <c r="AG367" t="s">
        <v>77</v>
      </c>
    </row>
    <row r="368" spans="1:33" x14ac:dyDescent="0.25">
      <c r="A368" t="str">
        <f>"1235157926"</f>
        <v>1235157926</v>
      </c>
      <c r="B368" t="str">
        <f>"01358570"</f>
        <v>01358570</v>
      </c>
      <c r="C368" t="s">
        <v>5348</v>
      </c>
      <c r="D368" t="s">
        <v>5349</v>
      </c>
      <c r="E368" t="s">
        <v>5350</v>
      </c>
      <c r="G368" t="s">
        <v>5351</v>
      </c>
      <c r="H368" t="s">
        <v>5352</v>
      </c>
      <c r="J368" t="s">
        <v>5353</v>
      </c>
      <c r="L368" t="s">
        <v>80</v>
      </c>
      <c r="M368" t="s">
        <v>72</v>
      </c>
      <c r="R368" t="s">
        <v>5354</v>
      </c>
      <c r="W368" t="s">
        <v>5350</v>
      </c>
      <c r="X368" t="s">
        <v>5355</v>
      </c>
      <c r="Y368" t="s">
        <v>242</v>
      </c>
      <c r="Z368" t="s">
        <v>73</v>
      </c>
      <c r="AA368" t="str">
        <f>"14701-7081"</f>
        <v>14701-7081</v>
      </c>
      <c r="AB368" t="s">
        <v>74</v>
      </c>
      <c r="AC368" t="s">
        <v>75</v>
      </c>
      <c r="AD368" t="s">
        <v>72</v>
      </c>
      <c r="AE368" t="s">
        <v>76</v>
      </c>
      <c r="AF368" t="s">
        <v>4049</v>
      </c>
      <c r="AG368" t="s">
        <v>77</v>
      </c>
    </row>
    <row r="369" spans="1:33" x14ac:dyDescent="0.25">
      <c r="A369" t="str">
        <f>"1760495824"</f>
        <v>1760495824</v>
      </c>
      <c r="B369" t="str">
        <f>"02877796"</f>
        <v>02877796</v>
      </c>
      <c r="C369" t="s">
        <v>5356</v>
      </c>
      <c r="D369" t="s">
        <v>2502</v>
      </c>
      <c r="E369" t="s">
        <v>2503</v>
      </c>
      <c r="G369" t="s">
        <v>5357</v>
      </c>
      <c r="H369" t="s">
        <v>779</v>
      </c>
      <c r="J369" t="s">
        <v>5358</v>
      </c>
      <c r="L369" t="s">
        <v>79</v>
      </c>
      <c r="M369" t="s">
        <v>72</v>
      </c>
      <c r="R369" t="s">
        <v>2504</v>
      </c>
      <c r="W369" t="s">
        <v>2503</v>
      </c>
      <c r="X369" t="s">
        <v>1194</v>
      </c>
      <c r="Y369" t="s">
        <v>237</v>
      </c>
      <c r="Z369" t="s">
        <v>73</v>
      </c>
      <c r="AA369" t="str">
        <f>"14224-2654"</f>
        <v>14224-2654</v>
      </c>
      <c r="AB369" t="s">
        <v>74</v>
      </c>
      <c r="AC369" t="s">
        <v>75</v>
      </c>
      <c r="AD369" t="s">
        <v>72</v>
      </c>
      <c r="AE369" t="s">
        <v>76</v>
      </c>
      <c r="AF369" t="s">
        <v>3974</v>
      </c>
      <c r="AG369" t="s">
        <v>77</v>
      </c>
    </row>
    <row r="370" spans="1:33" x14ac:dyDescent="0.25">
      <c r="A370" t="str">
        <f>"1821103029"</f>
        <v>1821103029</v>
      </c>
      <c r="B370" t="str">
        <f>"02212417"</f>
        <v>02212417</v>
      </c>
      <c r="C370" t="s">
        <v>5359</v>
      </c>
      <c r="D370" t="s">
        <v>5360</v>
      </c>
      <c r="E370" t="s">
        <v>5361</v>
      </c>
      <c r="G370" t="s">
        <v>5359</v>
      </c>
      <c r="H370" t="s">
        <v>5362</v>
      </c>
      <c r="J370" t="s">
        <v>5363</v>
      </c>
      <c r="L370" t="s">
        <v>79</v>
      </c>
      <c r="M370" t="s">
        <v>72</v>
      </c>
      <c r="R370" t="s">
        <v>5364</v>
      </c>
      <c r="W370" t="s">
        <v>5361</v>
      </c>
      <c r="X370" t="s">
        <v>199</v>
      </c>
      <c r="Y370" t="s">
        <v>117</v>
      </c>
      <c r="Z370" t="s">
        <v>73</v>
      </c>
      <c r="AA370" t="str">
        <f>"14220-1700"</f>
        <v>14220-1700</v>
      </c>
      <c r="AB370" t="s">
        <v>74</v>
      </c>
      <c r="AC370" t="s">
        <v>75</v>
      </c>
      <c r="AD370" t="s">
        <v>72</v>
      </c>
      <c r="AE370" t="s">
        <v>76</v>
      </c>
      <c r="AF370" t="s">
        <v>3974</v>
      </c>
      <c r="AG370" t="s">
        <v>77</v>
      </c>
    </row>
    <row r="371" spans="1:33" x14ac:dyDescent="0.25">
      <c r="A371" t="str">
        <f>"1710297205"</f>
        <v>1710297205</v>
      </c>
      <c r="B371" t="str">
        <f>"03317291"</f>
        <v>03317291</v>
      </c>
      <c r="C371" t="s">
        <v>5365</v>
      </c>
      <c r="D371" t="s">
        <v>1026</v>
      </c>
      <c r="E371" t="s">
        <v>1027</v>
      </c>
      <c r="G371" t="s">
        <v>3952</v>
      </c>
      <c r="H371" t="s">
        <v>3953</v>
      </c>
      <c r="J371" t="s">
        <v>3954</v>
      </c>
      <c r="L371" t="s">
        <v>79</v>
      </c>
      <c r="M371" t="s">
        <v>72</v>
      </c>
      <c r="R371" t="s">
        <v>1028</v>
      </c>
      <c r="W371" t="s">
        <v>1027</v>
      </c>
      <c r="X371" t="s">
        <v>250</v>
      </c>
      <c r="Y371" t="s">
        <v>217</v>
      </c>
      <c r="Z371" t="s">
        <v>73</v>
      </c>
      <c r="AA371" t="str">
        <f>"14760-1513"</f>
        <v>14760-1513</v>
      </c>
      <c r="AB371" t="s">
        <v>74</v>
      </c>
      <c r="AC371" t="s">
        <v>75</v>
      </c>
      <c r="AD371" t="s">
        <v>72</v>
      </c>
      <c r="AE371" t="s">
        <v>76</v>
      </c>
      <c r="AG371" t="s">
        <v>77</v>
      </c>
    </row>
    <row r="372" spans="1:33" x14ac:dyDescent="0.25">
      <c r="A372" t="str">
        <f>"1942434824"</f>
        <v>1942434824</v>
      </c>
      <c r="B372" t="str">
        <f>"03126712"</f>
        <v>03126712</v>
      </c>
      <c r="C372" t="s">
        <v>5366</v>
      </c>
      <c r="D372" t="s">
        <v>3254</v>
      </c>
      <c r="E372" t="s">
        <v>3255</v>
      </c>
      <c r="G372" t="s">
        <v>5366</v>
      </c>
      <c r="H372" t="s">
        <v>5367</v>
      </c>
      <c r="J372" t="s">
        <v>5368</v>
      </c>
      <c r="L372" t="s">
        <v>80</v>
      </c>
      <c r="M372" t="s">
        <v>72</v>
      </c>
      <c r="R372" t="s">
        <v>3256</v>
      </c>
      <c r="W372" t="s">
        <v>3257</v>
      </c>
      <c r="X372" t="s">
        <v>1146</v>
      </c>
      <c r="Y372" t="s">
        <v>436</v>
      </c>
      <c r="Z372" t="s">
        <v>73</v>
      </c>
      <c r="AA372" t="str">
        <f>"14217-1304"</f>
        <v>14217-1304</v>
      </c>
      <c r="AB372" t="s">
        <v>74</v>
      </c>
      <c r="AC372" t="s">
        <v>75</v>
      </c>
      <c r="AD372" t="s">
        <v>72</v>
      </c>
      <c r="AE372" t="s">
        <v>76</v>
      </c>
      <c r="AF372" t="s">
        <v>3974</v>
      </c>
      <c r="AG372" t="s">
        <v>77</v>
      </c>
    </row>
    <row r="373" spans="1:33" x14ac:dyDescent="0.25">
      <c r="A373" t="str">
        <f>"1912932799"</f>
        <v>1912932799</v>
      </c>
      <c r="B373" t="str">
        <f>"02581822"</f>
        <v>02581822</v>
      </c>
      <c r="C373" t="s">
        <v>5369</v>
      </c>
      <c r="D373" t="s">
        <v>5370</v>
      </c>
      <c r="E373" t="s">
        <v>5371</v>
      </c>
      <c r="G373" t="s">
        <v>4786</v>
      </c>
      <c r="H373" t="s">
        <v>5372</v>
      </c>
      <c r="J373" t="s">
        <v>4787</v>
      </c>
      <c r="L373" t="s">
        <v>79</v>
      </c>
      <c r="M373" t="s">
        <v>72</v>
      </c>
      <c r="R373" t="s">
        <v>5373</v>
      </c>
      <c r="W373" t="s">
        <v>5374</v>
      </c>
      <c r="X373" t="s">
        <v>5375</v>
      </c>
      <c r="Y373" t="s">
        <v>5376</v>
      </c>
      <c r="Z373" t="s">
        <v>177</v>
      </c>
      <c r="AA373" t="str">
        <f>"16345-4149"</f>
        <v>16345-4149</v>
      </c>
      <c r="AB373" t="s">
        <v>74</v>
      </c>
      <c r="AC373" t="s">
        <v>75</v>
      </c>
      <c r="AD373" t="s">
        <v>72</v>
      </c>
      <c r="AE373" t="s">
        <v>76</v>
      </c>
      <c r="AF373" t="s">
        <v>3974</v>
      </c>
      <c r="AG373" t="s">
        <v>77</v>
      </c>
    </row>
    <row r="374" spans="1:33" x14ac:dyDescent="0.25">
      <c r="A374" t="str">
        <f>"1427286699"</f>
        <v>1427286699</v>
      </c>
      <c r="B374" t="str">
        <f>"03726249"</f>
        <v>03726249</v>
      </c>
      <c r="C374" t="s">
        <v>5377</v>
      </c>
      <c r="D374" t="s">
        <v>5378</v>
      </c>
      <c r="E374" t="s">
        <v>5379</v>
      </c>
      <c r="G374" t="s">
        <v>5380</v>
      </c>
      <c r="H374" t="s">
        <v>2898</v>
      </c>
      <c r="J374" t="s">
        <v>5381</v>
      </c>
      <c r="L374" t="s">
        <v>79</v>
      </c>
      <c r="M374" t="s">
        <v>72</v>
      </c>
      <c r="R374" t="s">
        <v>5382</v>
      </c>
      <c r="W374" t="s">
        <v>5379</v>
      </c>
      <c r="X374" t="s">
        <v>2899</v>
      </c>
      <c r="Y374" t="s">
        <v>117</v>
      </c>
      <c r="Z374" t="s">
        <v>73</v>
      </c>
      <c r="AA374" t="str">
        <f>"14226-3800"</f>
        <v>14226-3800</v>
      </c>
      <c r="AB374" t="s">
        <v>74</v>
      </c>
      <c r="AC374" t="s">
        <v>75</v>
      </c>
      <c r="AD374" t="s">
        <v>72</v>
      </c>
      <c r="AE374" t="s">
        <v>76</v>
      </c>
      <c r="AF374" t="s">
        <v>3974</v>
      </c>
      <c r="AG374" t="s">
        <v>77</v>
      </c>
    </row>
    <row r="375" spans="1:33" x14ac:dyDescent="0.25">
      <c r="A375" t="str">
        <f>"1275581431"</f>
        <v>1275581431</v>
      </c>
      <c r="B375" t="str">
        <f>"01843287"</f>
        <v>01843287</v>
      </c>
      <c r="C375" t="s">
        <v>5383</v>
      </c>
      <c r="D375" t="s">
        <v>2910</v>
      </c>
      <c r="E375" t="s">
        <v>2911</v>
      </c>
      <c r="G375" t="s">
        <v>5164</v>
      </c>
      <c r="H375" t="s">
        <v>5165</v>
      </c>
      <c r="J375" t="s">
        <v>5166</v>
      </c>
      <c r="L375" t="s">
        <v>71</v>
      </c>
      <c r="M375" t="s">
        <v>72</v>
      </c>
      <c r="R375" t="s">
        <v>2912</v>
      </c>
      <c r="W375" t="s">
        <v>2911</v>
      </c>
      <c r="X375" t="s">
        <v>219</v>
      </c>
      <c r="Y375" t="s">
        <v>117</v>
      </c>
      <c r="Z375" t="s">
        <v>73</v>
      </c>
      <c r="AA375" t="str">
        <f>"14203-1149"</f>
        <v>14203-1149</v>
      </c>
      <c r="AB375" t="s">
        <v>74</v>
      </c>
      <c r="AC375" t="s">
        <v>75</v>
      </c>
      <c r="AD375" t="s">
        <v>72</v>
      </c>
      <c r="AE375" t="s">
        <v>76</v>
      </c>
      <c r="AG375" t="s">
        <v>77</v>
      </c>
    </row>
    <row r="376" spans="1:33" x14ac:dyDescent="0.25">
      <c r="A376" t="str">
        <f>"1700023579"</f>
        <v>1700023579</v>
      </c>
      <c r="B376" t="str">
        <f>"03602715"</f>
        <v>03602715</v>
      </c>
      <c r="C376" t="s">
        <v>5384</v>
      </c>
      <c r="D376" t="s">
        <v>2904</v>
      </c>
      <c r="E376" t="s">
        <v>2905</v>
      </c>
      <c r="G376" t="s">
        <v>5384</v>
      </c>
      <c r="H376" t="s">
        <v>597</v>
      </c>
      <c r="J376" t="s">
        <v>5385</v>
      </c>
      <c r="L376" t="s">
        <v>79</v>
      </c>
      <c r="M376" t="s">
        <v>72</v>
      </c>
      <c r="R376" t="s">
        <v>2905</v>
      </c>
      <c r="W376" t="s">
        <v>2905</v>
      </c>
      <c r="X376" t="s">
        <v>1320</v>
      </c>
      <c r="Y376" t="s">
        <v>117</v>
      </c>
      <c r="Z376" t="s">
        <v>73</v>
      </c>
      <c r="AA376" t="str">
        <f>"14215-1145"</f>
        <v>14215-1145</v>
      </c>
      <c r="AB376" t="s">
        <v>74</v>
      </c>
      <c r="AC376" t="s">
        <v>75</v>
      </c>
      <c r="AD376" t="s">
        <v>72</v>
      </c>
      <c r="AE376" t="s">
        <v>76</v>
      </c>
      <c r="AF376" t="s">
        <v>3974</v>
      </c>
      <c r="AG376" t="s">
        <v>77</v>
      </c>
    </row>
    <row r="377" spans="1:33" x14ac:dyDescent="0.25">
      <c r="A377" t="str">
        <f>"1982620027"</f>
        <v>1982620027</v>
      </c>
      <c r="B377" t="str">
        <f>"01896386"</f>
        <v>01896386</v>
      </c>
      <c r="C377" t="s">
        <v>5386</v>
      </c>
      <c r="D377" t="s">
        <v>3650</v>
      </c>
      <c r="E377" t="s">
        <v>3651</v>
      </c>
      <c r="G377" t="s">
        <v>5137</v>
      </c>
      <c r="H377" t="s">
        <v>5138</v>
      </c>
      <c r="J377" t="s">
        <v>5139</v>
      </c>
      <c r="L377" t="s">
        <v>79</v>
      </c>
      <c r="M377" t="s">
        <v>72</v>
      </c>
      <c r="R377" t="s">
        <v>3652</v>
      </c>
      <c r="W377" t="s">
        <v>3651</v>
      </c>
      <c r="X377" t="s">
        <v>3653</v>
      </c>
      <c r="Y377" t="s">
        <v>117</v>
      </c>
      <c r="Z377" t="s">
        <v>73</v>
      </c>
      <c r="AA377" t="str">
        <f>"14215-1907"</f>
        <v>14215-1907</v>
      </c>
      <c r="AB377" t="s">
        <v>74</v>
      </c>
      <c r="AC377" t="s">
        <v>75</v>
      </c>
      <c r="AD377" t="s">
        <v>72</v>
      </c>
      <c r="AE377" t="s">
        <v>76</v>
      </c>
      <c r="AF377" t="s">
        <v>3974</v>
      </c>
      <c r="AG377" t="s">
        <v>77</v>
      </c>
    </row>
    <row r="378" spans="1:33" x14ac:dyDescent="0.25">
      <c r="A378" t="str">
        <f>"1558524926"</f>
        <v>1558524926</v>
      </c>
      <c r="B378" t="str">
        <f>"03371377"</f>
        <v>03371377</v>
      </c>
      <c r="C378" t="s">
        <v>5387</v>
      </c>
      <c r="D378" t="s">
        <v>940</v>
      </c>
      <c r="E378" t="s">
        <v>941</v>
      </c>
      <c r="L378" t="s">
        <v>79</v>
      </c>
      <c r="M378" t="s">
        <v>72</v>
      </c>
      <c r="R378" t="s">
        <v>942</v>
      </c>
      <c r="W378" t="s">
        <v>941</v>
      </c>
      <c r="X378" t="s">
        <v>204</v>
      </c>
      <c r="Y378" t="s">
        <v>117</v>
      </c>
      <c r="Z378" t="s">
        <v>73</v>
      </c>
      <c r="AA378" t="str">
        <f>"14263-0001"</f>
        <v>14263-0001</v>
      </c>
      <c r="AB378" t="s">
        <v>74</v>
      </c>
      <c r="AC378" t="s">
        <v>75</v>
      </c>
      <c r="AD378" t="s">
        <v>72</v>
      </c>
      <c r="AE378" t="s">
        <v>76</v>
      </c>
      <c r="AF378" t="s">
        <v>4043</v>
      </c>
      <c r="AG378" t="s">
        <v>77</v>
      </c>
    </row>
    <row r="379" spans="1:33" x14ac:dyDescent="0.25">
      <c r="A379" t="str">
        <f>"1609871284"</f>
        <v>1609871284</v>
      </c>
      <c r="B379" t="str">
        <f>"02639509"</f>
        <v>02639509</v>
      </c>
      <c r="C379" t="s">
        <v>5388</v>
      </c>
      <c r="D379" t="s">
        <v>5389</v>
      </c>
      <c r="E379" t="s">
        <v>5390</v>
      </c>
      <c r="L379" t="s">
        <v>79</v>
      </c>
      <c r="M379" t="s">
        <v>72</v>
      </c>
      <c r="R379" t="s">
        <v>5391</v>
      </c>
      <c r="W379" t="s">
        <v>5390</v>
      </c>
      <c r="X379" t="s">
        <v>204</v>
      </c>
      <c r="Y379" t="s">
        <v>117</v>
      </c>
      <c r="Z379" t="s">
        <v>73</v>
      </c>
      <c r="AA379" t="str">
        <f>"14263-0001"</f>
        <v>14263-0001</v>
      </c>
      <c r="AB379" t="s">
        <v>74</v>
      </c>
      <c r="AC379" t="s">
        <v>75</v>
      </c>
      <c r="AD379" t="s">
        <v>72</v>
      </c>
      <c r="AE379" t="s">
        <v>76</v>
      </c>
      <c r="AF379" t="s">
        <v>4043</v>
      </c>
      <c r="AG379" t="s">
        <v>77</v>
      </c>
    </row>
    <row r="380" spans="1:33" x14ac:dyDescent="0.25">
      <c r="A380" t="str">
        <f>"1265499503"</f>
        <v>1265499503</v>
      </c>
      <c r="B380" t="str">
        <f>"02862513"</f>
        <v>02862513</v>
      </c>
      <c r="C380" t="s">
        <v>5392</v>
      </c>
      <c r="D380" t="s">
        <v>5393</v>
      </c>
      <c r="E380" t="s">
        <v>5394</v>
      </c>
      <c r="L380" t="s">
        <v>71</v>
      </c>
      <c r="M380" t="s">
        <v>72</v>
      </c>
      <c r="R380" t="s">
        <v>5395</v>
      </c>
      <c r="W380" t="s">
        <v>5394</v>
      </c>
      <c r="X380" t="s">
        <v>234</v>
      </c>
      <c r="Y380" t="s">
        <v>117</v>
      </c>
      <c r="Z380" t="s">
        <v>73</v>
      </c>
      <c r="AA380" t="str">
        <f>"14220-2095"</f>
        <v>14220-2095</v>
      </c>
      <c r="AB380" t="s">
        <v>74</v>
      </c>
      <c r="AC380" t="s">
        <v>75</v>
      </c>
      <c r="AD380" t="s">
        <v>72</v>
      </c>
      <c r="AE380" t="s">
        <v>76</v>
      </c>
      <c r="AF380" t="s">
        <v>4043</v>
      </c>
      <c r="AG380" t="s">
        <v>77</v>
      </c>
    </row>
    <row r="381" spans="1:33" x14ac:dyDescent="0.25">
      <c r="A381" t="str">
        <f>"1982870333"</f>
        <v>1982870333</v>
      </c>
      <c r="B381" t="str">
        <f>"03717975"</f>
        <v>03717975</v>
      </c>
      <c r="C381" t="s">
        <v>5396</v>
      </c>
      <c r="D381" t="s">
        <v>5397</v>
      </c>
      <c r="E381" t="s">
        <v>5398</v>
      </c>
      <c r="L381" t="s">
        <v>71</v>
      </c>
      <c r="M381" t="s">
        <v>72</v>
      </c>
      <c r="R381" t="s">
        <v>5399</v>
      </c>
      <c r="W381" t="s">
        <v>5398</v>
      </c>
      <c r="X381" t="s">
        <v>204</v>
      </c>
      <c r="Y381" t="s">
        <v>117</v>
      </c>
      <c r="Z381" t="s">
        <v>73</v>
      </c>
      <c r="AA381" t="str">
        <f>"14263-0001"</f>
        <v>14263-0001</v>
      </c>
      <c r="AB381" t="s">
        <v>74</v>
      </c>
      <c r="AC381" t="s">
        <v>75</v>
      </c>
      <c r="AD381" t="s">
        <v>72</v>
      </c>
      <c r="AE381" t="s">
        <v>76</v>
      </c>
      <c r="AF381" t="s">
        <v>4043</v>
      </c>
      <c r="AG381" t="s">
        <v>77</v>
      </c>
    </row>
    <row r="382" spans="1:33" x14ac:dyDescent="0.25">
      <c r="A382" t="str">
        <f>"1356388029"</f>
        <v>1356388029</v>
      </c>
      <c r="B382" t="str">
        <f>"02273274"</f>
        <v>02273274</v>
      </c>
      <c r="C382" t="s">
        <v>5400</v>
      </c>
      <c r="D382" t="s">
        <v>1050</v>
      </c>
      <c r="E382" t="s">
        <v>1051</v>
      </c>
      <c r="G382" t="s">
        <v>5048</v>
      </c>
      <c r="H382" t="s">
        <v>1052</v>
      </c>
      <c r="J382" t="s">
        <v>5049</v>
      </c>
      <c r="L382" t="s">
        <v>80</v>
      </c>
      <c r="M382" t="s">
        <v>72</v>
      </c>
      <c r="R382" t="s">
        <v>1053</v>
      </c>
      <c r="W382" t="s">
        <v>1051</v>
      </c>
      <c r="X382" t="s">
        <v>1054</v>
      </c>
      <c r="Y382" t="s">
        <v>326</v>
      </c>
      <c r="Z382" t="s">
        <v>73</v>
      </c>
      <c r="AA382" t="str">
        <f>"14127-1853"</f>
        <v>14127-1853</v>
      </c>
      <c r="AB382" t="s">
        <v>74</v>
      </c>
      <c r="AC382" t="s">
        <v>75</v>
      </c>
      <c r="AD382" t="s">
        <v>72</v>
      </c>
      <c r="AE382" t="s">
        <v>76</v>
      </c>
      <c r="AF382" t="s">
        <v>3961</v>
      </c>
      <c r="AG382" t="s">
        <v>77</v>
      </c>
    </row>
    <row r="383" spans="1:33" x14ac:dyDescent="0.25">
      <c r="A383" t="str">
        <f>"1275766651"</f>
        <v>1275766651</v>
      </c>
      <c r="B383" t="str">
        <f>"03142972"</f>
        <v>03142972</v>
      </c>
      <c r="C383" t="s">
        <v>5401</v>
      </c>
      <c r="D383" t="s">
        <v>2995</v>
      </c>
      <c r="E383" t="s">
        <v>2996</v>
      </c>
      <c r="G383" t="s">
        <v>5402</v>
      </c>
      <c r="H383" t="s">
        <v>877</v>
      </c>
      <c r="J383" t="s">
        <v>5403</v>
      </c>
      <c r="L383" t="s">
        <v>79</v>
      </c>
      <c r="M383" t="s">
        <v>72</v>
      </c>
      <c r="R383" t="s">
        <v>2997</v>
      </c>
      <c r="W383" t="s">
        <v>2996</v>
      </c>
      <c r="X383" t="s">
        <v>2998</v>
      </c>
      <c r="Y383" t="s">
        <v>117</v>
      </c>
      <c r="Z383" t="s">
        <v>73</v>
      </c>
      <c r="AA383" t="str">
        <f>"14215-3021"</f>
        <v>14215-3021</v>
      </c>
      <c r="AB383" t="s">
        <v>74</v>
      </c>
      <c r="AC383" t="s">
        <v>75</v>
      </c>
      <c r="AD383" t="s">
        <v>72</v>
      </c>
      <c r="AE383" t="s">
        <v>76</v>
      </c>
      <c r="AF383" t="s">
        <v>4049</v>
      </c>
      <c r="AG383" t="s">
        <v>77</v>
      </c>
    </row>
    <row r="384" spans="1:33" x14ac:dyDescent="0.25">
      <c r="A384" t="str">
        <f>"1649292855"</f>
        <v>1649292855</v>
      </c>
      <c r="B384" t="str">
        <f>"01967019"</f>
        <v>01967019</v>
      </c>
      <c r="C384" t="s">
        <v>5404</v>
      </c>
      <c r="D384" t="s">
        <v>5405</v>
      </c>
      <c r="E384" t="s">
        <v>5406</v>
      </c>
      <c r="G384" t="s">
        <v>5404</v>
      </c>
      <c r="H384" t="s">
        <v>5407</v>
      </c>
      <c r="L384" t="s">
        <v>80</v>
      </c>
      <c r="M384" t="s">
        <v>72</v>
      </c>
      <c r="R384" t="s">
        <v>5408</v>
      </c>
      <c r="W384" t="s">
        <v>5406</v>
      </c>
      <c r="X384" t="s">
        <v>5409</v>
      </c>
      <c r="Y384" t="s">
        <v>117</v>
      </c>
      <c r="Z384" t="s">
        <v>73</v>
      </c>
      <c r="AA384" t="str">
        <f>"14204-2275"</f>
        <v>14204-2275</v>
      </c>
      <c r="AB384" t="s">
        <v>74</v>
      </c>
      <c r="AC384" t="s">
        <v>75</v>
      </c>
      <c r="AD384" t="s">
        <v>72</v>
      </c>
      <c r="AE384" t="s">
        <v>76</v>
      </c>
      <c r="AF384" t="s">
        <v>3961</v>
      </c>
      <c r="AG384" t="s">
        <v>77</v>
      </c>
    </row>
    <row r="385" spans="1:33" x14ac:dyDescent="0.25">
      <c r="A385" t="str">
        <f>"1942584180"</f>
        <v>1942584180</v>
      </c>
      <c r="B385" t="str">
        <f>"03390567"</f>
        <v>03390567</v>
      </c>
      <c r="C385" t="s">
        <v>5410</v>
      </c>
      <c r="D385" t="s">
        <v>980</v>
      </c>
      <c r="E385" t="s">
        <v>981</v>
      </c>
      <c r="G385" t="s">
        <v>3952</v>
      </c>
      <c r="H385" t="s">
        <v>3953</v>
      </c>
      <c r="J385" t="s">
        <v>3954</v>
      </c>
      <c r="L385" t="s">
        <v>71</v>
      </c>
      <c r="M385" t="s">
        <v>72</v>
      </c>
      <c r="R385" t="s">
        <v>982</v>
      </c>
      <c r="W385" t="s">
        <v>981</v>
      </c>
      <c r="X385" t="s">
        <v>983</v>
      </c>
      <c r="Y385" t="s">
        <v>217</v>
      </c>
      <c r="Z385" t="s">
        <v>73</v>
      </c>
      <c r="AA385" t="str">
        <f>"14760-1532"</f>
        <v>14760-1532</v>
      </c>
      <c r="AB385" t="s">
        <v>74</v>
      </c>
      <c r="AC385" t="s">
        <v>75</v>
      </c>
      <c r="AD385" t="s">
        <v>72</v>
      </c>
      <c r="AE385" t="s">
        <v>76</v>
      </c>
      <c r="AG385" t="s">
        <v>77</v>
      </c>
    </row>
    <row r="386" spans="1:33" x14ac:dyDescent="0.25">
      <c r="A386" t="str">
        <f>"1043271646"</f>
        <v>1043271646</v>
      </c>
      <c r="B386" t="str">
        <f>"01071136"</f>
        <v>01071136</v>
      </c>
      <c r="C386" t="s">
        <v>5411</v>
      </c>
      <c r="D386" t="s">
        <v>3075</v>
      </c>
      <c r="E386" t="s">
        <v>3076</v>
      </c>
      <c r="G386" t="s">
        <v>5411</v>
      </c>
      <c r="H386" t="s">
        <v>3077</v>
      </c>
      <c r="J386" t="s">
        <v>5412</v>
      </c>
      <c r="L386" t="s">
        <v>79</v>
      </c>
      <c r="M386" t="s">
        <v>72</v>
      </c>
      <c r="R386" t="s">
        <v>3078</v>
      </c>
      <c r="W386" t="s">
        <v>3076</v>
      </c>
      <c r="Y386" t="s">
        <v>247</v>
      </c>
      <c r="Z386" t="s">
        <v>73</v>
      </c>
      <c r="AA386" t="str">
        <f>"14225-4097"</f>
        <v>14225-4097</v>
      </c>
      <c r="AB386" t="s">
        <v>74</v>
      </c>
      <c r="AC386" t="s">
        <v>75</v>
      </c>
      <c r="AD386" t="s">
        <v>72</v>
      </c>
      <c r="AE386" t="s">
        <v>76</v>
      </c>
      <c r="AF386" t="s">
        <v>3974</v>
      </c>
      <c r="AG386" t="s">
        <v>77</v>
      </c>
    </row>
    <row r="387" spans="1:33" x14ac:dyDescent="0.25">
      <c r="A387" t="str">
        <f>"1760595771"</f>
        <v>1760595771</v>
      </c>
      <c r="B387" t="str">
        <f>"01456046"</f>
        <v>01456046</v>
      </c>
      <c r="C387" t="s">
        <v>5413</v>
      </c>
      <c r="D387" t="s">
        <v>2594</v>
      </c>
      <c r="E387" t="s">
        <v>2595</v>
      </c>
      <c r="G387" t="s">
        <v>5413</v>
      </c>
      <c r="H387" t="s">
        <v>5414</v>
      </c>
      <c r="J387" t="s">
        <v>5415</v>
      </c>
      <c r="L387" t="s">
        <v>79</v>
      </c>
      <c r="M387" t="s">
        <v>72</v>
      </c>
      <c r="R387" t="s">
        <v>2596</v>
      </c>
      <c r="W387" t="s">
        <v>2595</v>
      </c>
      <c r="X387" t="s">
        <v>1194</v>
      </c>
      <c r="Y387" t="s">
        <v>237</v>
      </c>
      <c r="Z387" t="s">
        <v>73</v>
      </c>
      <c r="AA387" t="str">
        <f>"14224-2646"</f>
        <v>14224-2646</v>
      </c>
      <c r="AB387" t="s">
        <v>74</v>
      </c>
      <c r="AC387" t="s">
        <v>75</v>
      </c>
      <c r="AD387" t="s">
        <v>72</v>
      </c>
      <c r="AE387" t="s">
        <v>76</v>
      </c>
      <c r="AF387" t="s">
        <v>3974</v>
      </c>
      <c r="AG387" t="s">
        <v>77</v>
      </c>
    </row>
    <row r="388" spans="1:33" x14ac:dyDescent="0.25">
      <c r="A388" t="str">
        <f>"1215971395"</f>
        <v>1215971395</v>
      </c>
      <c r="B388" t="str">
        <f>"01144852"</f>
        <v>01144852</v>
      </c>
      <c r="C388" t="s">
        <v>5416</v>
      </c>
      <c r="D388" t="s">
        <v>2703</v>
      </c>
      <c r="E388" t="s">
        <v>2704</v>
      </c>
      <c r="G388" t="s">
        <v>5417</v>
      </c>
      <c r="H388" t="s">
        <v>920</v>
      </c>
      <c r="J388" t="s">
        <v>5418</v>
      </c>
      <c r="L388" t="s">
        <v>79</v>
      </c>
      <c r="M388" t="s">
        <v>72</v>
      </c>
      <c r="R388" t="s">
        <v>2705</v>
      </c>
      <c r="W388" t="s">
        <v>2704</v>
      </c>
      <c r="X388" t="s">
        <v>1841</v>
      </c>
      <c r="Y388" t="s">
        <v>117</v>
      </c>
      <c r="Z388" t="s">
        <v>73</v>
      </c>
      <c r="AA388" t="str">
        <f>"14203-1536"</f>
        <v>14203-1536</v>
      </c>
      <c r="AB388" t="s">
        <v>74</v>
      </c>
      <c r="AC388" t="s">
        <v>75</v>
      </c>
      <c r="AD388" t="s">
        <v>72</v>
      </c>
      <c r="AE388" t="s">
        <v>76</v>
      </c>
      <c r="AF388" t="s">
        <v>3961</v>
      </c>
      <c r="AG388" t="s">
        <v>77</v>
      </c>
    </row>
    <row r="389" spans="1:33" x14ac:dyDescent="0.25">
      <c r="A389" t="str">
        <f>"1235228552"</f>
        <v>1235228552</v>
      </c>
      <c r="B389" t="str">
        <f>"01702634"</f>
        <v>01702634</v>
      </c>
      <c r="C389" t="s">
        <v>5419</v>
      </c>
      <c r="D389" t="s">
        <v>5420</v>
      </c>
      <c r="E389" t="s">
        <v>5421</v>
      </c>
      <c r="G389" t="s">
        <v>4979</v>
      </c>
      <c r="H389" t="s">
        <v>1123</v>
      </c>
      <c r="J389" t="s">
        <v>4981</v>
      </c>
      <c r="L389" t="s">
        <v>84</v>
      </c>
      <c r="M389" t="s">
        <v>72</v>
      </c>
      <c r="W389" t="s">
        <v>5421</v>
      </c>
      <c r="X389" t="s">
        <v>472</v>
      </c>
      <c r="Y389" t="s">
        <v>326</v>
      </c>
      <c r="Z389" t="s">
        <v>73</v>
      </c>
      <c r="AA389" t="str">
        <f>"14127-1732"</f>
        <v>14127-1732</v>
      </c>
      <c r="AB389" t="s">
        <v>74</v>
      </c>
      <c r="AC389" t="s">
        <v>75</v>
      </c>
      <c r="AD389" t="s">
        <v>72</v>
      </c>
      <c r="AE389" t="s">
        <v>76</v>
      </c>
      <c r="AF389" t="s">
        <v>3974</v>
      </c>
      <c r="AG389" t="s">
        <v>77</v>
      </c>
    </row>
    <row r="390" spans="1:33" x14ac:dyDescent="0.25">
      <c r="A390" t="str">
        <f>"1356368864"</f>
        <v>1356368864</v>
      </c>
      <c r="B390" t="str">
        <f>"00845978"</f>
        <v>00845978</v>
      </c>
      <c r="C390" t="s">
        <v>5422</v>
      </c>
      <c r="D390" t="s">
        <v>1476</v>
      </c>
      <c r="E390" t="s">
        <v>1477</v>
      </c>
      <c r="G390" t="s">
        <v>5422</v>
      </c>
      <c r="H390" t="s">
        <v>5423</v>
      </c>
      <c r="J390" t="s">
        <v>5424</v>
      </c>
      <c r="L390" t="s">
        <v>79</v>
      </c>
      <c r="M390" t="s">
        <v>72</v>
      </c>
      <c r="R390" t="s">
        <v>1478</v>
      </c>
      <c r="W390" t="s">
        <v>1479</v>
      </c>
      <c r="X390" t="s">
        <v>1480</v>
      </c>
      <c r="Y390" t="s">
        <v>317</v>
      </c>
      <c r="Z390" t="s">
        <v>73</v>
      </c>
      <c r="AA390" t="str">
        <f>"14218-3527"</f>
        <v>14218-3527</v>
      </c>
      <c r="AB390" t="s">
        <v>113</v>
      </c>
      <c r="AC390" t="s">
        <v>75</v>
      </c>
      <c r="AD390" t="s">
        <v>72</v>
      </c>
      <c r="AE390" t="s">
        <v>76</v>
      </c>
      <c r="AF390" t="s">
        <v>4043</v>
      </c>
      <c r="AG390" t="s">
        <v>77</v>
      </c>
    </row>
    <row r="391" spans="1:33" x14ac:dyDescent="0.25">
      <c r="A391" t="str">
        <f>"1790728004"</f>
        <v>1790728004</v>
      </c>
      <c r="B391" t="str">
        <f>"02273045"</f>
        <v>02273045</v>
      </c>
      <c r="C391" t="s">
        <v>5425</v>
      </c>
      <c r="D391" t="s">
        <v>5426</v>
      </c>
      <c r="E391" t="s">
        <v>5427</v>
      </c>
      <c r="G391" t="s">
        <v>4852</v>
      </c>
      <c r="H391" t="s">
        <v>4853</v>
      </c>
      <c r="J391" t="s">
        <v>4854</v>
      </c>
      <c r="L391" t="s">
        <v>80</v>
      </c>
      <c r="M391" t="s">
        <v>72</v>
      </c>
      <c r="R391" t="s">
        <v>5428</v>
      </c>
      <c r="W391" t="s">
        <v>5427</v>
      </c>
      <c r="X391" t="s">
        <v>1895</v>
      </c>
      <c r="Y391" t="s">
        <v>1079</v>
      </c>
      <c r="Z391" t="s">
        <v>73</v>
      </c>
      <c r="AA391" t="str">
        <f>"14075-2600"</f>
        <v>14075-2600</v>
      </c>
      <c r="AB391" t="s">
        <v>74</v>
      </c>
      <c r="AC391" t="s">
        <v>75</v>
      </c>
      <c r="AD391" t="s">
        <v>72</v>
      </c>
      <c r="AE391" t="s">
        <v>76</v>
      </c>
      <c r="AF391" t="s">
        <v>3961</v>
      </c>
      <c r="AG391" t="s">
        <v>77</v>
      </c>
    </row>
    <row r="392" spans="1:33" x14ac:dyDescent="0.25">
      <c r="A392" t="str">
        <f>"1396721551"</f>
        <v>1396721551</v>
      </c>
      <c r="B392" t="str">
        <f>"00614122"</f>
        <v>00614122</v>
      </c>
      <c r="C392" t="s">
        <v>5429</v>
      </c>
      <c r="D392" t="s">
        <v>1199</v>
      </c>
      <c r="E392" t="s">
        <v>1200</v>
      </c>
      <c r="G392" t="s">
        <v>4014</v>
      </c>
      <c r="H392" t="s">
        <v>750</v>
      </c>
      <c r="J392" t="s">
        <v>4015</v>
      </c>
      <c r="L392" t="s">
        <v>79</v>
      </c>
      <c r="M392" t="s">
        <v>72</v>
      </c>
      <c r="R392" t="s">
        <v>1201</v>
      </c>
      <c r="W392" t="s">
        <v>1200</v>
      </c>
      <c r="X392" t="s">
        <v>752</v>
      </c>
      <c r="Y392" t="s">
        <v>221</v>
      </c>
      <c r="Z392" t="s">
        <v>73</v>
      </c>
      <c r="AA392" t="str">
        <f>"14221-2917"</f>
        <v>14221-2917</v>
      </c>
      <c r="AB392" t="s">
        <v>74</v>
      </c>
      <c r="AC392" t="s">
        <v>75</v>
      </c>
      <c r="AD392" t="s">
        <v>72</v>
      </c>
      <c r="AE392" t="s">
        <v>76</v>
      </c>
      <c r="AF392" t="s">
        <v>3974</v>
      </c>
      <c r="AG392" t="s">
        <v>77</v>
      </c>
    </row>
    <row r="393" spans="1:33" x14ac:dyDescent="0.25">
      <c r="A393" t="str">
        <f>"1578557302"</f>
        <v>1578557302</v>
      </c>
      <c r="B393" t="str">
        <f>"02129082"</f>
        <v>02129082</v>
      </c>
      <c r="C393" t="s">
        <v>5430</v>
      </c>
      <c r="D393" t="s">
        <v>1094</v>
      </c>
      <c r="E393" t="s">
        <v>1095</v>
      </c>
      <c r="G393" t="s">
        <v>5431</v>
      </c>
      <c r="H393" t="s">
        <v>1046</v>
      </c>
      <c r="J393" t="s">
        <v>5432</v>
      </c>
      <c r="L393" t="s">
        <v>79</v>
      </c>
      <c r="M393" t="s">
        <v>72</v>
      </c>
      <c r="R393" t="s">
        <v>1096</v>
      </c>
      <c r="W393" t="s">
        <v>1095</v>
      </c>
      <c r="X393" t="s">
        <v>1097</v>
      </c>
      <c r="Y393" t="s">
        <v>221</v>
      </c>
      <c r="Z393" t="s">
        <v>73</v>
      </c>
      <c r="AA393" t="str">
        <f>"14221-7889"</f>
        <v>14221-7889</v>
      </c>
      <c r="AB393" t="s">
        <v>74</v>
      </c>
      <c r="AC393" t="s">
        <v>75</v>
      </c>
      <c r="AD393" t="s">
        <v>72</v>
      </c>
      <c r="AE393" t="s">
        <v>76</v>
      </c>
      <c r="AF393" t="s">
        <v>3974</v>
      </c>
      <c r="AG393" t="s">
        <v>77</v>
      </c>
    </row>
    <row r="394" spans="1:33" x14ac:dyDescent="0.25">
      <c r="A394" t="str">
        <f>"1720220023"</f>
        <v>1720220023</v>
      </c>
      <c r="B394" t="str">
        <f>"03498675"</f>
        <v>03498675</v>
      </c>
      <c r="C394" t="s">
        <v>5433</v>
      </c>
      <c r="D394" t="s">
        <v>5434</v>
      </c>
      <c r="E394" t="s">
        <v>5435</v>
      </c>
      <c r="G394" t="s">
        <v>4883</v>
      </c>
      <c r="H394" t="s">
        <v>3216</v>
      </c>
      <c r="J394" t="s">
        <v>4884</v>
      </c>
      <c r="L394" t="s">
        <v>79</v>
      </c>
      <c r="M394" t="s">
        <v>72</v>
      </c>
      <c r="R394" t="s">
        <v>5436</v>
      </c>
      <c r="W394" t="s">
        <v>5435</v>
      </c>
      <c r="X394" t="s">
        <v>5437</v>
      </c>
      <c r="Y394" t="s">
        <v>188</v>
      </c>
      <c r="Z394" t="s">
        <v>73</v>
      </c>
      <c r="AA394" t="str">
        <f>"14092-1953"</f>
        <v>14092-1953</v>
      </c>
      <c r="AB394" t="s">
        <v>74</v>
      </c>
      <c r="AC394" t="s">
        <v>75</v>
      </c>
      <c r="AD394" t="s">
        <v>72</v>
      </c>
      <c r="AE394" t="s">
        <v>76</v>
      </c>
      <c r="AF394" t="s">
        <v>3974</v>
      </c>
      <c r="AG394" t="s">
        <v>77</v>
      </c>
    </row>
    <row r="395" spans="1:33" x14ac:dyDescent="0.25">
      <c r="A395" t="str">
        <f>"1285651018"</f>
        <v>1285651018</v>
      </c>
      <c r="B395" t="str">
        <f>"02676171"</f>
        <v>02676171</v>
      </c>
      <c r="C395" t="s">
        <v>5438</v>
      </c>
      <c r="D395" t="s">
        <v>5439</v>
      </c>
      <c r="E395" t="s">
        <v>5440</v>
      </c>
      <c r="G395" t="s">
        <v>5441</v>
      </c>
      <c r="H395" t="s">
        <v>2776</v>
      </c>
      <c r="J395" t="s">
        <v>5442</v>
      </c>
      <c r="L395" t="s">
        <v>79</v>
      </c>
      <c r="M395" t="s">
        <v>72</v>
      </c>
      <c r="R395" t="s">
        <v>5443</v>
      </c>
      <c r="W395" t="s">
        <v>5440</v>
      </c>
      <c r="X395" t="s">
        <v>5444</v>
      </c>
      <c r="Y395" t="s">
        <v>302</v>
      </c>
      <c r="Z395" t="s">
        <v>73</v>
      </c>
      <c r="AA395" t="str">
        <f>"14031-2048"</f>
        <v>14031-2048</v>
      </c>
      <c r="AB395" t="s">
        <v>113</v>
      </c>
      <c r="AC395" t="s">
        <v>75</v>
      </c>
      <c r="AD395" t="s">
        <v>72</v>
      </c>
      <c r="AE395" t="s">
        <v>76</v>
      </c>
      <c r="AG395" t="s">
        <v>77</v>
      </c>
    </row>
    <row r="396" spans="1:33" x14ac:dyDescent="0.25">
      <c r="A396" t="str">
        <f>"1437116308"</f>
        <v>1437116308</v>
      </c>
      <c r="B396" t="str">
        <f>"01623490"</f>
        <v>01623490</v>
      </c>
      <c r="C396" t="s">
        <v>5445</v>
      </c>
      <c r="D396" t="s">
        <v>1706</v>
      </c>
      <c r="E396" t="s">
        <v>1707</v>
      </c>
      <c r="G396" t="s">
        <v>5446</v>
      </c>
      <c r="H396" t="s">
        <v>368</v>
      </c>
      <c r="J396" t="s">
        <v>5447</v>
      </c>
      <c r="L396" t="s">
        <v>79</v>
      </c>
      <c r="M396" t="s">
        <v>72</v>
      </c>
      <c r="R396" t="s">
        <v>1708</v>
      </c>
      <c r="W396" t="s">
        <v>1707</v>
      </c>
      <c r="X396" t="s">
        <v>1146</v>
      </c>
      <c r="Y396" t="s">
        <v>436</v>
      </c>
      <c r="Z396" t="s">
        <v>73</v>
      </c>
      <c r="AA396" t="str">
        <f>"14217-1304"</f>
        <v>14217-1304</v>
      </c>
      <c r="AB396" t="s">
        <v>74</v>
      </c>
      <c r="AC396" t="s">
        <v>75</v>
      </c>
      <c r="AD396" t="s">
        <v>72</v>
      </c>
      <c r="AE396" t="s">
        <v>76</v>
      </c>
      <c r="AF396" t="s">
        <v>3974</v>
      </c>
      <c r="AG396" t="s">
        <v>77</v>
      </c>
    </row>
    <row r="397" spans="1:33" x14ac:dyDescent="0.25">
      <c r="A397" t="str">
        <f>"1306814579"</f>
        <v>1306814579</v>
      </c>
      <c r="B397" t="str">
        <f>"01528734"</f>
        <v>01528734</v>
      </c>
      <c r="C397" t="s">
        <v>5448</v>
      </c>
      <c r="D397" t="s">
        <v>5449</v>
      </c>
      <c r="E397" t="s">
        <v>5450</v>
      </c>
      <c r="G397" t="s">
        <v>5448</v>
      </c>
      <c r="H397" t="s">
        <v>4732</v>
      </c>
      <c r="J397" t="s">
        <v>5451</v>
      </c>
      <c r="L397" t="s">
        <v>79</v>
      </c>
      <c r="M397" t="s">
        <v>72</v>
      </c>
      <c r="R397" t="s">
        <v>5452</v>
      </c>
      <c r="W397" t="s">
        <v>5450</v>
      </c>
      <c r="X397" t="s">
        <v>5453</v>
      </c>
      <c r="Y397" t="s">
        <v>317</v>
      </c>
      <c r="Z397" t="s">
        <v>73</v>
      </c>
      <c r="AA397" t="str">
        <f>"14218"</f>
        <v>14218</v>
      </c>
      <c r="AB397" t="s">
        <v>74</v>
      </c>
      <c r="AC397" t="s">
        <v>75</v>
      </c>
      <c r="AD397" t="s">
        <v>72</v>
      </c>
      <c r="AE397" t="s">
        <v>76</v>
      </c>
      <c r="AF397" t="s">
        <v>3974</v>
      </c>
      <c r="AG397" t="s">
        <v>77</v>
      </c>
    </row>
    <row r="398" spans="1:33" x14ac:dyDescent="0.25">
      <c r="A398" t="str">
        <f>"1952377285"</f>
        <v>1952377285</v>
      </c>
      <c r="B398" t="str">
        <f>"01205669"</f>
        <v>01205669</v>
      </c>
      <c r="C398" t="s">
        <v>5454</v>
      </c>
      <c r="D398" t="s">
        <v>5455</v>
      </c>
      <c r="E398" t="s">
        <v>5456</v>
      </c>
      <c r="G398" t="s">
        <v>5454</v>
      </c>
      <c r="H398" t="s">
        <v>5457</v>
      </c>
      <c r="J398" t="s">
        <v>5458</v>
      </c>
      <c r="L398" t="s">
        <v>71</v>
      </c>
      <c r="M398" t="s">
        <v>72</v>
      </c>
      <c r="R398" t="s">
        <v>5459</v>
      </c>
      <c r="W398" t="s">
        <v>5456</v>
      </c>
      <c r="X398" t="s">
        <v>3548</v>
      </c>
      <c r="Y398" t="s">
        <v>1361</v>
      </c>
      <c r="Z398" t="s">
        <v>73</v>
      </c>
      <c r="AA398" t="str">
        <f>"14706-1138"</f>
        <v>14706-1138</v>
      </c>
      <c r="AB398" t="s">
        <v>113</v>
      </c>
      <c r="AC398" t="s">
        <v>75</v>
      </c>
      <c r="AD398" t="s">
        <v>72</v>
      </c>
      <c r="AE398" t="s">
        <v>76</v>
      </c>
      <c r="AF398" t="s">
        <v>3974</v>
      </c>
      <c r="AG398" t="s">
        <v>77</v>
      </c>
    </row>
    <row r="399" spans="1:33" x14ac:dyDescent="0.25">
      <c r="A399" t="str">
        <f>"1750371746"</f>
        <v>1750371746</v>
      </c>
      <c r="B399" t="str">
        <f>"01669992"</f>
        <v>01669992</v>
      </c>
      <c r="C399" t="s">
        <v>5460</v>
      </c>
      <c r="D399" t="s">
        <v>1568</v>
      </c>
      <c r="E399" t="s">
        <v>1569</v>
      </c>
      <c r="G399" t="s">
        <v>5460</v>
      </c>
      <c r="H399" t="s">
        <v>1570</v>
      </c>
      <c r="J399" t="s">
        <v>5461</v>
      </c>
      <c r="L399" t="s">
        <v>79</v>
      </c>
      <c r="M399" t="s">
        <v>72</v>
      </c>
      <c r="R399" t="s">
        <v>1571</v>
      </c>
      <c r="W399" t="s">
        <v>1569</v>
      </c>
      <c r="X399" t="s">
        <v>243</v>
      </c>
      <c r="Y399" t="s">
        <v>117</v>
      </c>
      <c r="Z399" t="s">
        <v>73</v>
      </c>
      <c r="AA399" t="str">
        <f>"14203-1126"</f>
        <v>14203-1126</v>
      </c>
      <c r="AB399" t="s">
        <v>74</v>
      </c>
      <c r="AC399" t="s">
        <v>75</v>
      </c>
      <c r="AD399" t="s">
        <v>72</v>
      </c>
      <c r="AE399" t="s">
        <v>76</v>
      </c>
      <c r="AF399" t="s">
        <v>3974</v>
      </c>
      <c r="AG399" t="s">
        <v>77</v>
      </c>
    </row>
    <row r="400" spans="1:33" x14ac:dyDescent="0.25">
      <c r="A400" t="str">
        <f>"1447262209"</f>
        <v>1447262209</v>
      </c>
      <c r="B400" t="str">
        <f>"02313835"</f>
        <v>02313835</v>
      </c>
      <c r="C400" t="s">
        <v>5462</v>
      </c>
      <c r="D400" t="s">
        <v>587</v>
      </c>
      <c r="E400" t="s">
        <v>588</v>
      </c>
      <c r="G400" t="s">
        <v>5463</v>
      </c>
      <c r="H400" t="s">
        <v>589</v>
      </c>
      <c r="J400" t="s">
        <v>5464</v>
      </c>
      <c r="L400" t="s">
        <v>79</v>
      </c>
      <c r="M400" t="s">
        <v>72</v>
      </c>
      <c r="R400" t="s">
        <v>590</v>
      </c>
      <c r="W400" t="s">
        <v>588</v>
      </c>
      <c r="X400" t="s">
        <v>591</v>
      </c>
      <c r="Y400" t="s">
        <v>221</v>
      </c>
      <c r="Z400" t="s">
        <v>73</v>
      </c>
      <c r="AA400" t="str">
        <f>"14221-1729"</f>
        <v>14221-1729</v>
      </c>
      <c r="AB400" t="s">
        <v>74</v>
      </c>
      <c r="AC400" t="s">
        <v>75</v>
      </c>
      <c r="AD400" t="s">
        <v>72</v>
      </c>
      <c r="AE400" t="s">
        <v>76</v>
      </c>
      <c r="AF400" t="s">
        <v>3974</v>
      </c>
      <c r="AG400" t="s">
        <v>77</v>
      </c>
    </row>
    <row r="401" spans="1:33" x14ac:dyDescent="0.25">
      <c r="A401" t="str">
        <f>"1891763587"</f>
        <v>1891763587</v>
      </c>
      <c r="B401" t="str">
        <f>"00633743"</f>
        <v>00633743</v>
      </c>
      <c r="C401" t="s">
        <v>5465</v>
      </c>
      <c r="D401" t="s">
        <v>5466</v>
      </c>
      <c r="E401" t="s">
        <v>5467</v>
      </c>
      <c r="G401" t="s">
        <v>4772</v>
      </c>
      <c r="H401" t="s">
        <v>801</v>
      </c>
      <c r="J401" t="s">
        <v>4773</v>
      </c>
      <c r="L401" t="s">
        <v>79</v>
      </c>
      <c r="M401" t="s">
        <v>72</v>
      </c>
      <c r="R401" t="s">
        <v>5468</v>
      </c>
      <c r="W401" t="s">
        <v>5467</v>
      </c>
      <c r="X401" t="s">
        <v>5469</v>
      </c>
      <c r="Y401" t="s">
        <v>117</v>
      </c>
      <c r="Z401" t="s">
        <v>73</v>
      </c>
      <c r="AA401" t="str">
        <f>"14220"</f>
        <v>14220</v>
      </c>
      <c r="AB401" t="s">
        <v>74</v>
      </c>
      <c r="AC401" t="s">
        <v>75</v>
      </c>
      <c r="AD401" t="s">
        <v>72</v>
      </c>
      <c r="AE401" t="s">
        <v>76</v>
      </c>
      <c r="AF401" t="s">
        <v>3974</v>
      </c>
      <c r="AG401" t="s">
        <v>77</v>
      </c>
    </row>
    <row r="402" spans="1:33" x14ac:dyDescent="0.25">
      <c r="A402" t="str">
        <f>"1821054057"</f>
        <v>1821054057</v>
      </c>
      <c r="B402" t="str">
        <f>"02129404"</f>
        <v>02129404</v>
      </c>
      <c r="C402" t="s">
        <v>5470</v>
      </c>
      <c r="D402" t="s">
        <v>1413</v>
      </c>
      <c r="E402" t="s">
        <v>1414</v>
      </c>
      <c r="G402" t="s">
        <v>4757</v>
      </c>
      <c r="H402" t="s">
        <v>1355</v>
      </c>
      <c r="J402" t="s">
        <v>4758</v>
      </c>
      <c r="L402" t="s">
        <v>79</v>
      </c>
      <c r="M402" t="s">
        <v>72</v>
      </c>
      <c r="R402" t="s">
        <v>1415</v>
      </c>
      <c r="W402" t="s">
        <v>1414</v>
      </c>
      <c r="X402" t="s">
        <v>1416</v>
      </c>
      <c r="Y402" t="s">
        <v>117</v>
      </c>
      <c r="Z402" t="s">
        <v>73</v>
      </c>
      <c r="AA402" t="str">
        <f>"14226-1727"</f>
        <v>14226-1727</v>
      </c>
      <c r="AB402" t="s">
        <v>74</v>
      </c>
      <c r="AC402" t="s">
        <v>75</v>
      </c>
      <c r="AD402" t="s">
        <v>72</v>
      </c>
      <c r="AE402" t="s">
        <v>76</v>
      </c>
      <c r="AF402" t="s">
        <v>3974</v>
      </c>
      <c r="AG402" t="s">
        <v>77</v>
      </c>
    </row>
    <row r="403" spans="1:33" x14ac:dyDescent="0.25">
      <c r="A403" t="str">
        <f>"1881671238"</f>
        <v>1881671238</v>
      </c>
      <c r="B403" t="str">
        <f>"03470353"</f>
        <v>03470353</v>
      </c>
      <c r="C403" t="s">
        <v>5471</v>
      </c>
      <c r="D403" t="s">
        <v>3475</v>
      </c>
      <c r="E403" t="s">
        <v>3476</v>
      </c>
      <c r="G403" t="s">
        <v>5472</v>
      </c>
      <c r="H403" t="s">
        <v>3477</v>
      </c>
      <c r="J403" t="s">
        <v>5473</v>
      </c>
      <c r="L403" t="s">
        <v>79</v>
      </c>
      <c r="M403" t="s">
        <v>72</v>
      </c>
      <c r="R403" t="s">
        <v>3478</v>
      </c>
      <c r="W403" t="s">
        <v>3476</v>
      </c>
      <c r="X403" t="s">
        <v>1324</v>
      </c>
      <c r="Y403" t="s">
        <v>221</v>
      </c>
      <c r="Z403" t="s">
        <v>73</v>
      </c>
      <c r="AA403" t="str">
        <f>"14221-7800"</f>
        <v>14221-7800</v>
      </c>
      <c r="AB403" t="s">
        <v>74</v>
      </c>
      <c r="AC403" t="s">
        <v>75</v>
      </c>
      <c r="AD403" t="s">
        <v>72</v>
      </c>
      <c r="AE403" t="s">
        <v>76</v>
      </c>
      <c r="AF403" t="s">
        <v>3974</v>
      </c>
      <c r="AG403" t="s">
        <v>77</v>
      </c>
    </row>
    <row r="404" spans="1:33" x14ac:dyDescent="0.25">
      <c r="A404" t="str">
        <f>"1235195769"</f>
        <v>1235195769</v>
      </c>
      <c r="B404" t="str">
        <f>"01716774"</f>
        <v>01716774</v>
      </c>
      <c r="C404" t="s">
        <v>5474</v>
      </c>
      <c r="D404" t="s">
        <v>2718</v>
      </c>
      <c r="E404" t="s">
        <v>2719</v>
      </c>
      <c r="G404" t="s">
        <v>5475</v>
      </c>
      <c r="H404" t="s">
        <v>1906</v>
      </c>
      <c r="J404" t="s">
        <v>5476</v>
      </c>
      <c r="L404" t="s">
        <v>80</v>
      </c>
      <c r="M404" t="s">
        <v>72</v>
      </c>
      <c r="R404" t="s">
        <v>2720</v>
      </c>
      <c r="W404" t="s">
        <v>2719</v>
      </c>
      <c r="X404" t="s">
        <v>2650</v>
      </c>
      <c r="Y404" t="s">
        <v>296</v>
      </c>
      <c r="Z404" t="s">
        <v>73</v>
      </c>
      <c r="AA404" t="str">
        <f>"14086-2143"</f>
        <v>14086-2143</v>
      </c>
      <c r="AB404" t="s">
        <v>74</v>
      </c>
      <c r="AC404" t="s">
        <v>75</v>
      </c>
      <c r="AD404" t="s">
        <v>72</v>
      </c>
      <c r="AE404" t="s">
        <v>76</v>
      </c>
      <c r="AF404" t="s">
        <v>3961</v>
      </c>
      <c r="AG404" t="s">
        <v>77</v>
      </c>
    </row>
    <row r="405" spans="1:33" x14ac:dyDescent="0.25">
      <c r="A405" t="str">
        <f>"1205985645"</f>
        <v>1205985645</v>
      </c>
      <c r="B405" t="str">
        <f>"02142487"</f>
        <v>02142487</v>
      </c>
      <c r="C405" t="s">
        <v>5477</v>
      </c>
      <c r="D405" t="s">
        <v>1891</v>
      </c>
      <c r="E405" t="s">
        <v>1892</v>
      </c>
      <c r="G405" t="s">
        <v>5478</v>
      </c>
      <c r="H405" t="s">
        <v>793</v>
      </c>
      <c r="J405" t="s">
        <v>5479</v>
      </c>
      <c r="L405" t="s">
        <v>79</v>
      </c>
      <c r="M405" t="s">
        <v>72</v>
      </c>
      <c r="R405" t="s">
        <v>1893</v>
      </c>
      <c r="W405" t="s">
        <v>1892</v>
      </c>
      <c r="X405" t="s">
        <v>1894</v>
      </c>
      <c r="Y405" t="s">
        <v>117</v>
      </c>
      <c r="Z405" t="s">
        <v>73</v>
      </c>
      <c r="AA405" t="str">
        <f>"14203-2209"</f>
        <v>14203-2209</v>
      </c>
      <c r="AB405" t="s">
        <v>74</v>
      </c>
      <c r="AC405" t="s">
        <v>75</v>
      </c>
      <c r="AD405" t="s">
        <v>72</v>
      </c>
      <c r="AE405" t="s">
        <v>76</v>
      </c>
      <c r="AF405" t="s">
        <v>3974</v>
      </c>
      <c r="AG405" t="s">
        <v>77</v>
      </c>
    </row>
    <row r="406" spans="1:33" x14ac:dyDescent="0.25">
      <c r="A406" t="str">
        <f>"1477661486"</f>
        <v>1477661486</v>
      </c>
      <c r="B406" t="str">
        <f>"03164445"</f>
        <v>03164445</v>
      </c>
      <c r="C406" t="s">
        <v>5480</v>
      </c>
      <c r="D406" t="s">
        <v>5481</v>
      </c>
      <c r="E406" t="s">
        <v>5482</v>
      </c>
      <c r="G406" t="s">
        <v>5480</v>
      </c>
      <c r="H406" t="s">
        <v>5483</v>
      </c>
      <c r="J406" t="s">
        <v>5484</v>
      </c>
      <c r="L406" t="s">
        <v>71</v>
      </c>
      <c r="M406" t="s">
        <v>81</v>
      </c>
      <c r="R406" t="s">
        <v>5485</v>
      </c>
      <c r="W406" t="s">
        <v>5486</v>
      </c>
      <c r="X406" t="s">
        <v>1146</v>
      </c>
      <c r="Y406" t="s">
        <v>436</v>
      </c>
      <c r="Z406" t="s">
        <v>73</v>
      </c>
      <c r="AA406" t="str">
        <f>"14217-1304"</f>
        <v>14217-1304</v>
      </c>
      <c r="AB406" t="s">
        <v>74</v>
      </c>
      <c r="AC406" t="s">
        <v>75</v>
      </c>
      <c r="AD406" t="s">
        <v>72</v>
      </c>
      <c r="AE406" t="s">
        <v>76</v>
      </c>
      <c r="AF406" t="s">
        <v>3974</v>
      </c>
      <c r="AG406" t="s">
        <v>77</v>
      </c>
    </row>
    <row r="407" spans="1:33" x14ac:dyDescent="0.25">
      <c r="A407" t="str">
        <f>"1386602118"</f>
        <v>1386602118</v>
      </c>
      <c r="B407" t="str">
        <f>"01339688"</f>
        <v>01339688</v>
      </c>
      <c r="C407" t="s">
        <v>5487</v>
      </c>
      <c r="D407" t="s">
        <v>5488</v>
      </c>
      <c r="E407" t="s">
        <v>5489</v>
      </c>
      <c r="G407" t="s">
        <v>5076</v>
      </c>
      <c r="H407" t="s">
        <v>5077</v>
      </c>
      <c r="J407" t="s">
        <v>5078</v>
      </c>
      <c r="L407" t="s">
        <v>79</v>
      </c>
      <c r="M407" t="s">
        <v>72</v>
      </c>
      <c r="R407" t="s">
        <v>5490</v>
      </c>
      <c r="W407" t="s">
        <v>5489</v>
      </c>
      <c r="X407" t="s">
        <v>567</v>
      </c>
      <c r="Y407" t="s">
        <v>202</v>
      </c>
      <c r="Z407" t="s">
        <v>73</v>
      </c>
      <c r="AA407" t="str">
        <f>"14420-1229"</f>
        <v>14420-1229</v>
      </c>
      <c r="AB407" t="s">
        <v>74</v>
      </c>
      <c r="AC407" t="s">
        <v>75</v>
      </c>
      <c r="AD407" t="s">
        <v>72</v>
      </c>
      <c r="AE407" t="s">
        <v>76</v>
      </c>
      <c r="AF407" t="s">
        <v>3974</v>
      </c>
      <c r="AG407" t="s">
        <v>77</v>
      </c>
    </row>
    <row r="408" spans="1:33" x14ac:dyDescent="0.25">
      <c r="A408" t="str">
        <f>"1649232497"</f>
        <v>1649232497</v>
      </c>
      <c r="B408" t="str">
        <f>"01139899"</f>
        <v>01139899</v>
      </c>
      <c r="C408" t="s">
        <v>5491</v>
      </c>
      <c r="D408" t="s">
        <v>3403</v>
      </c>
      <c r="E408" t="s">
        <v>3404</v>
      </c>
      <c r="G408" t="s">
        <v>5492</v>
      </c>
      <c r="H408" t="s">
        <v>5493</v>
      </c>
      <c r="J408" t="s">
        <v>5494</v>
      </c>
      <c r="L408" t="s">
        <v>79</v>
      </c>
      <c r="M408" t="s">
        <v>72</v>
      </c>
      <c r="R408" t="s">
        <v>3405</v>
      </c>
      <c r="W408" t="s">
        <v>3404</v>
      </c>
      <c r="X408" t="s">
        <v>3406</v>
      </c>
      <c r="Y408" t="s">
        <v>117</v>
      </c>
      <c r="Z408" t="s">
        <v>73</v>
      </c>
      <c r="AA408" t="str">
        <f>"14209-1194"</f>
        <v>14209-1194</v>
      </c>
      <c r="AB408" t="s">
        <v>74</v>
      </c>
      <c r="AC408" t="s">
        <v>75</v>
      </c>
      <c r="AD408" t="s">
        <v>72</v>
      </c>
      <c r="AE408" t="s">
        <v>76</v>
      </c>
      <c r="AF408" t="s">
        <v>3974</v>
      </c>
      <c r="AG408" t="s">
        <v>77</v>
      </c>
    </row>
    <row r="409" spans="1:33" x14ac:dyDescent="0.25">
      <c r="A409" t="str">
        <f>"1003847484"</f>
        <v>1003847484</v>
      </c>
      <c r="B409" t="str">
        <f>"02792501"</f>
        <v>02792501</v>
      </c>
      <c r="C409" t="s">
        <v>5495</v>
      </c>
      <c r="D409" t="s">
        <v>3207</v>
      </c>
      <c r="E409" t="s">
        <v>3208</v>
      </c>
      <c r="G409" t="s">
        <v>5446</v>
      </c>
      <c r="H409" t="s">
        <v>368</v>
      </c>
      <c r="J409" t="s">
        <v>5447</v>
      </c>
      <c r="L409" t="s">
        <v>79</v>
      </c>
      <c r="M409" t="s">
        <v>72</v>
      </c>
      <c r="R409" t="s">
        <v>3209</v>
      </c>
      <c r="W409" t="s">
        <v>3208</v>
      </c>
      <c r="X409" t="s">
        <v>704</v>
      </c>
      <c r="Y409" t="s">
        <v>221</v>
      </c>
      <c r="Z409" t="s">
        <v>73</v>
      </c>
      <c r="AA409" t="str">
        <f>"14221-8214"</f>
        <v>14221-8214</v>
      </c>
      <c r="AB409" t="s">
        <v>74</v>
      </c>
      <c r="AC409" t="s">
        <v>75</v>
      </c>
      <c r="AD409" t="s">
        <v>72</v>
      </c>
      <c r="AE409" t="s">
        <v>76</v>
      </c>
      <c r="AF409" t="s">
        <v>3974</v>
      </c>
      <c r="AG409" t="s">
        <v>77</v>
      </c>
    </row>
    <row r="410" spans="1:33" x14ac:dyDescent="0.25">
      <c r="A410" t="str">
        <f>"1376509976"</f>
        <v>1376509976</v>
      </c>
      <c r="B410" t="str">
        <f>"00877569"</f>
        <v>00877569</v>
      </c>
      <c r="C410" t="s">
        <v>5496</v>
      </c>
      <c r="D410" t="s">
        <v>1904</v>
      </c>
      <c r="E410" t="s">
        <v>1905</v>
      </c>
      <c r="G410" t="s">
        <v>5475</v>
      </c>
      <c r="H410" t="s">
        <v>1906</v>
      </c>
      <c r="J410" t="s">
        <v>5476</v>
      </c>
      <c r="L410" t="s">
        <v>80</v>
      </c>
      <c r="M410" t="s">
        <v>72</v>
      </c>
      <c r="R410" t="s">
        <v>1907</v>
      </c>
      <c r="W410" t="s">
        <v>1908</v>
      </c>
      <c r="X410" t="s">
        <v>1909</v>
      </c>
      <c r="Y410" t="s">
        <v>455</v>
      </c>
      <c r="Z410" t="s">
        <v>73</v>
      </c>
      <c r="AA410" t="str">
        <f>"14026-1035"</f>
        <v>14026-1035</v>
      </c>
      <c r="AB410" t="s">
        <v>74</v>
      </c>
      <c r="AC410" t="s">
        <v>75</v>
      </c>
      <c r="AD410" t="s">
        <v>72</v>
      </c>
      <c r="AE410" t="s">
        <v>76</v>
      </c>
      <c r="AF410" t="s">
        <v>3961</v>
      </c>
      <c r="AG410" t="s">
        <v>77</v>
      </c>
    </row>
    <row r="411" spans="1:33" x14ac:dyDescent="0.25">
      <c r="A411" t="str">
        <f>"1750590253"</f>
        <v>1750590253</v>
      </c>
      <c r="B411" t="str">
        <f>"03353748"</f>
        <v>03353748</v>
      </c>
      <c r="C411" t="s">
        <v>5497</v>
      </c>
      <c r="D411" t="s">
        <v>1642</v>
      </c>
      <c r="E411" t="s">
        <v>1643</v>
      </c>
      <c r="G411" t="s">
        <v>5498</v>
      </c>
      <c r="H411" t="s">
        <v>1808</v>
      </c>
      <c r="J411" t="s">
        <v>5499</v>
      </c>
      <c r="L411" t="s">
        <v>79</v>
      </c>
      <c r="M411" t="s">
        <v>72</v>
      </c>
      <c r="R411" t="s">
        <v>1643</v>
      </c>
      <c r="W411" t="s">
        <v>1644</v>
      </c>
      <c r="X411" t="s">
        <v>1209</v>
      </c>
      <c r="Y411" t="s">
        <v>237</v>
      </c>
      <c r="Z411" t="s">
        <v>73</v>
      </c>
      <c r="AA411" t="str">
        <f>"14224-3444"</f>
        <v>14224-3444</v>
      </c>
      <c r="AB411" t="s">
        <v>74</v>
      </c>
      <c r="AC411" t="s">
        <v>75</v>
      </c>
      <c r="AD411" t="s">
        <v>72</v>
      </c>
      <c r="AE411" t="s">
        <v>76</v>
      </c>
      <c r="AF411" t="s">
        <v>3974</v>
      </c>
      <c r="AG411" t="s">
        <v>77</v>
      </c>
    </row>
    <row r="412" spans="1:33" x14ac:dyDescent="0.25">
      <c r="A412" t="str">
        <f>"1477539823"</f>
        <v>1477539823</v>
      </c>
      <c r="B412" t="str">
        <f>"01670020"</f>
        <v>01670020</v>
      </c>
      <c r="C412" t="s">
        <v>5500</v>
      </c>
      <c r="D412" t="s">
        <v>5501</v>
      </c>
      <c r="E412" t="s">
        <v>5502</v>
      </c>
      <c r="G412" t="s">
        <v>4739</v>
      </c>
      <c r="H412" t="s">
        <v>2761</v>
      </c>
      <c r="J412" t="s">
        <v>4740</v>
      </c>
      <c r="L412" t="s">
        <v>80</v>
      </c>
      <c r="M412" t="s">
        <v>72</v>
      </c>
      <c r="R412" t="s">
        <v>5503</v>
      </c>
      <c r="W412" t="s">
        <v>5504</v>
      </c>
      <c r="X412" t="s">
        <v>5505</v>
      </c>
      <c r="Y412" t="s">
        <v>851</v>
      </c>
      <c r="Z412" t="s">
        <v>73</v>
      </c>
      <c r="AA412" t="str">
        <f>"14047-9508"</f>
        <v>14047-9508</v>
      </c>
      <c r="AB412" t="s">
        <v>74</v>
      </c>
      <c r="AC412" t="s">
        <v>75</v>
      </c>
      <c r="AD412" t="s">
        <v>72</v>
      </c>
      <c r="AE412" t="s">
        <v>76</v>
      </c>
      <c r="AF412" t="s">
        <v>3961</v>
      </c>
      <c r="AG412" t="s">
        <v>77</v>
      </c>
    </row>
    <row r="413" spans="1:33" x14ac:dyDescent="0.25">
      <c r="A413" t="str">
        <f>"1639196520"</f>
        <v>1639196520</v>
      </c>
      <c r="B413" t="str">
        <f>"02533324"</f>
        <v>02533324</v>
      </c>
      <c r="C413" t="s">
        <v>5506</v>
      </c>
      <c r="D413" t="s">
        <v>5507</v>
      </c>
      <c r="E413" t="s">
        <v>5508</v>
      </c>
      <c r="G413" t="s">
        <v>5509</v>
      </c>
      <c r="H413" t="s">
        <v>5510</v>
      </c>
      <c r="J413" t="s">
        <v>5511</v>
      </c>
      <c r="L413" t="s">
        <v>79</v>
      </c>
      <c r="M413" t="s">
        <v>72</v>
      </c>
      <c r="R413" t="s">
        <v>5512</v>
      </c>
      <c r="W413" t="s">
        <v>5508</v>
      </c>
      <c r="X413" t="s">
        <v>3729</v>
      </c>
      <c r="Y413" t="s">
        <v>117</v>
      </c>
      <c r="Z413" t="s">
        <v>73</v>
      </c>
      <c r="AA413" t="str">
        <f>"14209-2256"</f>
        <v>14209-2256</v>
      </c>
      <c r="AB413" t="s">
        <v>74</v>
      </c>
      <c r="AC413" t="s">
        <v>75</v>
      </c>
      <c r="AD413" t="s">
        <v>72</v>
      </c>
      <c r="AE413" t="s">
        <v>76</v>
      </c>
      <c r="AF413" t="s">
        <v>3974</v>
      </c>
      <c r="AG413" t="s">
        <v>77</v>
      </c>
    </row>
    <row r="414" spans="1:33" x14ac:dyDescent="0.25">
      <c r="A414" t="str">
        <f>"1164459681"</f>
        <v>1164459681</v>
      </c>
      <c r="B414" t="str">
        <f>"02494113"</f>
        <v>02494113</v>
      </c>
      <c r="C414" t="s">
        <v>5513</v>
      </c>
      <c r="D414" t="s">
        <v>5514</v>
      </c>
      <c r="E414" t="s">
        <v>5515</v>
      </c>
      <c r="G414" t="s">
        <v>4066</v>
      </c>
      <c r="H414" t="s">
        <v>4067</v>
      </c>
      <c r="J414" t="s">
        <v>4068</v>
      </c>
      <c r="L414" t="s">
        <v>79</v>
      </c>
      <c r="M414" t="s">
        <v>72</v>
      </c>
      <c r="R414" t="s">
        <v>5516</v>
      </c>
      <c r="W414" t="s">
        <v>5515</v>
      </c>
      <c r="X414" t="s">
        <v>164</v>
      </c>
      <c r="Y414" t="s">
        <v>117</v>
      </c>
      <c r="Z414" t="s">
        <v>73</v>
      </c>
      <c r="AA414" t="str">
        <f>"14220-2095"</f>
        <v>14220-2095</v>
      </c>
      <c r="AB414" t="s">
        <v>74</v>
      </c>
      <c r="AC414" t="s">
        <v>75</v>
      </c>
      <c r="AD414" t="s">
        <v>72</v>
      </c>
      <c r="AE414" t="s">
        <v>76</v>
      </c>
      <c r="AF414" t="s">
        <v>3974</v>
      </c>
      <c r="AG414" t="s">
        <v>77</v>
      </c>
    </row>
    <row r="415" spans="1:33" x14ac:dyDescent="0.25">
      <c r="A415" t="str">
        <f>"1114138286"</f>
        <v>1114138286</v>
      </c>
      <c r="B415" t="str">
        <f>"00465834"</f>
        <v>00465834</v>
      </c>
      <c r="C415" t="s">
        <v>463</v>
      </c>
      <c r="D415" t="s">
        <v>469</v>
      </c>
      <c r="E415" t="s">
        <v>470</v>
      </c>
      <c r="G415" t="s">
        <v>5517</v>
      </c>
      <c r="H415" t="s">
        <v>837</v>
      </c>
      <c r="J415" t="s">
        <v>3684</v>
      </c>
      <c r="L415" t="s">
        <v>92</v>
      </c>
      <c r="M415" t="s">
        <v>81</v>
      </c>
      <c r="R415" t="s">
        <v>466</v>
      </c>
      <c r="W415" t="s">
        <v>470</v>
      </c>
      <c r="X415" t="s">
        <v>467</v>
      </c>
      <c r="Y415" t="s">
        <v>317</v>
      </c>
      <c r="Z415" t="s">
        <v>73</v>
      </c>
      <c r="AA415" t="str">
        <f>"14218-2708"</f>
        <v>14218-2708</v>
      </c>
      <c r="AB415" t="s">
        <v>116</v>
      </c>
      <c r="AC415" t="s">
        <v>75</v>
      </c>
      <c r="AD415" t="s">
        <v>72</v>
      </c>
      <c r="AE415" t="s">
        <v>76</v>
      </c>
      <c r="AF415" t="s">
        <v>4879</v>
      </c>
      <c r="AG415" t="s">
        <v>77</v>
      </c>
    </row>
    <row r="416" spans="1:33" x14ac:dyDescent="0.25">
      <c r="A416" t="str">
        <f>"1386766061"</f>
        <v>1386766061</v>
      </c>
      <c r="B416" t="str">
        <f>"01899518"</f>
        <v>01899518</v>
      </c>
      <c r="C416" t="s">
        <v>463</v>
      </c>
      <c r="D416" t="s">
        <v>1585</v>
      </c>
      <c r="E416" t="s">
        <v>1586</v>
      </c>
      <c r="G416" t="s">
        <v>5517</v>
      </c>
      <c r="H416" t="s">
        <v>837</v>
      </c>
      <c r="J416" t="s">
        <v>3684</v>
      </c>
      <c r="L416" t="s">
        <v>9</v>
      </c>
      <c r="M416" t="s">
        <v>81</v>
      </c>
      <c r="W416" t="s">
        <v>1586</v>
      </c>
      <c r="X416" t="s">
        <v>480</v>
      </c>
      <c r="Y416" t="s">
        <v>317</v>
      </c>
      <c r="Z416" t="s">
        <v>73</v>
      </c>
      <c r="AA416" t="str">
        <f>"14218-1629"</f>
        <v>14218-1629</v>
      </c>
      <c r="AB416" t="s">
        <v>109</v>
      </c>
      <c r="AC416" t="s">
        <v>75</v>
      </c>
      <c r="AD416" t="s">
        <v>72</v>
      </c>
      <c r="AE416" t="s">
        <v>76</v>
      </c>
      <c r="AF416" t="s">
        <v>4879</v>
      </c>
      <c r="AG416" t="s">
        <v>77</v>
      </c>
    </row>
    <row r="417" spans="1:33" x14ac:dyDescent="0.25">
      <c r="A417" t="str">
        <f>"1396956462"</f>
        <v>1396956462</v>
      </c>
      <c r="B417" t="str">
        <f>"00824415"</f>
        <v>00824415</v>
      </c>
      <c r="C417" t="s">
        <v>463</v>
      </c>
      <c r="D417" t="s">
        <v>464</v>
      </c>
      <c r="E417" t="s">
        <v>465</v>
      </c>
      <c r="G417" t="s">
        <v>5517</v>
      </c>
      <c r="H417" t="s">
        <v>837</v>
      </c>
      <c r="J417" t="s">
        <v>3684</v>
      </c>
      <c r="L417" t="s">
        <v>10</v>
      </c>
      <c r="M417" t="s">
        <v>72</v>
      </c>
      <c r="R417" t="s">
        <v>466</v>
      </c>
      <c r="W417" t="s">
        <v>465</v>
      </c>
      <c r="X417" t="s">
        <v>467</v>
      </c>
      <c r="Y417" t="s">
        <v>317</v>
      </c>
      <c r="Z417" t="s">
        <v>73</v>
      </c>
      <c r="AA417" t="str">
        <f>"14218-2708"</f>
        <v>14218-2708</v>
      </c>
      <c r="AB417" t="s">
        <v>116</v>
      </c>
      <c r="AC417" t="s">
        <v>75</v>
      </c>
      <c r="AD417" t="s">
        <v>72</v>
      </c>
      <c r="AE417" t="s">
        <v>76</v>
      </c>
      <c r="AF417" t="s">
        <v>4879</v>
      </c>
      <c r="AG417" t="s">
        <v>77</v>
      </c>
    </row>
    <row r="418" spans="1:33" x14ac:dyDescent="0.25">
      <c r="A418" t="str">
        <f>"1447461876"</f>
        <v>1447461876</v>
      </c>
      <c r="B418" t="str">
        <f>"03003541"</f>
        <v>03003541</v>
      </c>
      <c r="C418" t="s">
        <v>463</v>
      </c>
      <c r="D418" t="s">
        <v>469</v>
      </c>
      <c r="E418" t="s">
        <v>470</v>
      </c>
      <c r="G418" t="s">
        <v>5517</v>
      </c>
      <c r="H418" t="s">
        <v>837</v>
      </c>
      <c r="J418" t="s">
        <v>3684</v>
      </c>
      <c r="L418" t="s">
        <v>92</v>
      </c>
      <c r="M418" t="s">
        <v>81</v>
      </c>
      <c r="R418" t="s">
        <v>466</v>
      </c>
      <c r="W418" t="s">
        <v>470</v>
      </c>
      <c r="X418" t="s">
        <v>467</v>
      </c>
      <c r="Y418" t="s">
        <v>317</v>
      </c>
      <c r="Z418" t="s">
        <v>73</v>
      </c>
      <c r="AA418" t="str">
        <f>"14218-2708"</f>
        <v>14218-2708</v>
      </c>
      <c r="AB418" t="s">
        <v>116</v>
      </c>
      <c r="AC418" t="s">
        <v>75</v>
      </c>
      <c r="AD418" t="s">
        <v>72</v>
      </c>
      <c r="AE418" t="s">
        <v>76</v>
      </c>
      <c r="AF418" t="s">
        <v>4879</v>
      </c>
      <c r="AG418" t="s">
        <v>77</v>
      </c>
    </row>
    <row r="419" spans="1:33" x14ac:dyDescent="0.25">
      <c r="A419" t="str">
        <f>"1588875652"</f>
        <v>1588875652</v>
      </c>
      <c r="B419" t="str">
        <f>"01129946"</f>
        <v>01129946</v>
      </c>
      <c r="C419" t="s">
        <v>463</v>
      </c>
      <c r="D419" t="s">
        <v>1170</v>
      </c>
      <c r="E419" t="s">
        <v>1171</v>
      </c>
      <c r="G419" t="s">
        <v>5517</v>
      </c>
      <c r="H419" t="s">
        <v>837</v>
      </c>
      <c r="J419" t="s">
        <v>3684</v>
      </c>
      <c r="L419" t="s">
        <v>35</v>
      </c>
      <c r="M419" t="s">
        <v>72</v>
      </c>
      <c r="R419" t="s">
        <v>315</v>
      </c>
      <c r="W419" t="s">
        <v>1171</v>
      </c>
      <c r="X419" t="s">
        <v>1172</v>
      </c>
      <c r="Y419" t="s">
        <v>317</v>
      </c>
      <c r="Z419" t="s">
        <v>73</v>
      </c>
      <c r="AA419" t="str">
        <f>"14218-2708"</f>
        <v>14218-2708</v>
      </c>
      <c r="AB419" t="s">
        <v>98</v>
      </c>
      <c r="AC419" t="s">
        <v>75</v>
      </c>
      <c r="AD419" t="s">
        <v>72</v>
      </c>
      <c r="AE419" t="s">
        <v>76</v>
      </c>
      <c r="AF419" t="s">
        <v>4879</v>
      </c>
      <c r="AG419" t="s">
        <v>77</v>
      </c>
    </row>
    <row r="420" spans="1:33" x14ac:dyDescent="0.25">
      <c r="A420" t="str">
        <f>"1619191855"</f>
        <v>1619191855</v>
      </c>
      <c r="B420" t="str">
        <f>"03009863"</f>
        <v>03009863</v>
      </c>
      <c r="C420" t="s">
        <v>463</v>
      </c>
      <c r="D420" t="s">
        <v>1585</v>
      </c>
      <c r="E420" t="s">
        <v>1586</v>
      </c>
      <c r="G420" t="s">
        <v>5517</v>
      </c>
      <c r="H420" t="s">
        <v>837</v>
      </c>
      <c r="J420" t="s">
        <v>3684</v>
      </c>
      <c r="L420" t="s">
        <v>9</v>
      </c>
      <c r="M420" t="s">
        <v>81</v>
      </c>
      <c r="R420" t="s">
        <v>1587</v>
      </c>
      <c r="W420" t="s">
        <v>1586</v>
      </c>
      <c r="X420" t="s">
        <v>480</v>
      </c>
      <c r="Y420" t="s">
        <v>317</v>
      </c>
      <c r="Z420" t="s">
        <v>73</v>
      </c>
      <c r="AA420" t="str">
        <f>"14218-1629"</f>
        <v>14218-1629</v>
      </c>
      <c r="AB420" t="s">
        <v>109</v>
      </c>
      <c r="AC420" t="s">
        <v>75</v>
      </c>
      <c r="AD420" t="s">
        <v>72</v>
      </c>
      <c r="AE420" t="s">
        <v>76</v>
      </c>
      <c r="AF420" t="s">
        <v>4879</v>
      </c>
      <c r="AG420" t="s">
        <v>77</v>
      </c>
    </row>
    <row r="421" spans="1:33" x14ac:dyDescent="0.25">
      <c r="A421" t="str">
        <f>"1700013927"</f>
        <v>1700013927</v>
      </c>
      <c r="B421" t="str">
        <f>"03324527"</f>
        <v>03324527</v>
      </c>
      <c r="C421" t="s">
        <v>463</v>
      </c>
      <c r="D421" t="s">
        <v>835</v>
      </c>
      <c r="E421" t="s">
        <v>836</v>
      </c>
      <c r="G421" t="s">
        <v>5517</v>
      </c>
      <c r="H421" t="s">
        <v>837</v>
      </c>
      <c r="J421" t="s">
        <v>3684</v>
      </c>
      <c r="L421" t="s">
        <v>135</v>
      </c>
      <c r="M421" t="s">
        <v>72</v>
      </c>
      <c r="R421" t="s">
        <v>315</v>
      </c>
      <c r="W421" t="s">
        <v>836</v>
      </c>
      <c r="X421" t="s">
        <v>838</v>
      </c>
      <c r="Y421" t="s">
        <v>217</v>
      </c>
      <c r="Z421" t="s">
        <v>73</v>
      </c>
      <c r="AA421" t="str">
        <f>"14760-1100"</f>
        <v>14760-1100</v>
      </c>
      <c r="AB421" t="s">
        <v>83</v>
      </c>
      <c r="AC421" t="s">
        <v>75</v>
      </c>
      <c r="AD421" t="s">
        <v>72</v>
      </c>
      <c r="AE421" t="s">
        <v>76</v>
      </c>
      <c r="AF421" t="s">
        <v>4879</v>
      </c>
      <c r="AG421" t="s">
        <v>77</v>
      </c>
    </row>
    <row r="422" spans="1:33" x14ac:dyDescent="0.25">
      <c r="A422" t="str">
        <f>"1861641367"</f>
        <v>1861641367</v>
      </c>
      <c r="B422" t="str">
        <f>"03324536"</f>
        <v>03324536</v>
      </c>
      <c r="C422" t="s">
        <v>463</v>
      </c>
      <c r="D422" t="s">
        <v>3755</v>
      </c>
      <c r="E422" t="s">
        <v>3756</v>
      </c>
      <c r="G422" t="s">
        <v>5517</v>
      </c>
      <c r="H422" t="s">
        <v>837</v>
      </c>
      <c r="J422" t="s">
        <v>3684</v>
      </c>
      <c r="L422" t="s">
        <v>92</v>
      </c>
      <c r="M422" t="s">
        <v>72</v>
      </c>
      <c r="R422" t="s">
        <v>3754</v>
      </c>
      <c r="W422" t="s">
        <v>3756</v>
      </c>
      <c r="X422" t="s">
        <v>838</v>
      </c>
      <c r="Y422" t="s">
        <v>217</v>
      </c>
      <c r="Z422" t="s">
        <v>73</v>
      </c>
      <c r="AA422" t="str">
        <f>"14760-1100"</f>
        <v>14760-1100</v>
      </c>
      <c r="AB422" t="s">
        <v>83</v>
      </c>
      <c r="AC422" t="s">
        <v>75</v>
      </c>
      <c r="AD422" t="s">
        <v>72</v>
      </c>
      <c r="AE422" t="s">
        <v>76</v>
      </c>
      <c r="AF422" t="s">
        <v>4879</v>
      </c>
      <c r="AG422" t="s">
        <v>77</v>
      </c>
    </row>
    <row r="423" spans="1:33" x14ac:dyDescent="0.25">
      <c r="A423" t="str">
        <f>"1972574598"</f>
        <v>1972574598</v>
      </c>
      <c r="B423" t="str">
        <f>"02710685"</f>
        <v>02710685</v>
      </c>
      <c r="C423" t="s">
        <v>5518</v>
      </c>
      <c r="D423" t="s">
        <v>5519</v>
      </c>
      <c r="E423" t="s">
        <v>5520</v>
      </c>
      <c r="G423" t="s">
        <v>4101</v>
      </c>
      <c r="H423" t="s">
        <v>4102</v>
      </c>
      <c r="I423">
        <v>44</v>
      </c>
      <c r="J423" t="s">
        <v>4103</v>
      </c>
      <c r="L423" t="s">
        <v>80</v>
      </c>
      <c r="M423" t="s">
        <v>81</v>
      </c>
      <c r="R423" t="s">
        <v>5521</v>
      </c>
      <c r="W423" t="s">
        <v>5520</v>
      </c>
      <c r="X423" t="s">
        <v>4105</v>
      </c>
      <c r="Y423" t="s">
        <v>242</v>
      </c>
      <c r="Z423" t="s">
        <v>73</v>
      </c>
      <c r="AA423" t="str">
        <f>"14701-2519"</f>
        <v>14701-2519</v>
      </c>
      <c r="AB423" t="s">
        <v>74</v>
      </c>
      <c r="AC423" t="s">
        <v>75</v>
      </c>
      <c r="AD423" t="s">
        <v>72</v>
      </c>
      <c r="AE423" t="s">
        <v>76</v>
      </c>
      <c r="AF423" t="s">
        <v>4049</v>
      </c>
      <c r="AG423" t="s">
        <v>77</v>
      </c>
    </row>
    <row r="424" spans="1:33" x14ac:dyDescent="0.25">
      <c r="A424" t="str">
        <f>"1285605725"</f>
        <v>1285605725</v>
      </c>
      <c r="B424" t="str">
        <f>"02342065"</f>
        <v>02342065</v>
      </c>
      <c r="C424" t="s">
        <v>5522</v>
      </c>
      <c r="D424" t="s">
        <v>5523</v>
      </c>
      <c r="E424" t="s">
        <v>5524</v>
      </c>
      <c r="G424" t="s">
        <v>4101</v>
      </c>
      <c r="H424" t="s">
        <v>4102</v>
      </c>
      <c r="I424">
        <v>44</v>
      </c>
      <c r="J424" t="s">
        <v>4103</v>
      </c>
      <c r="L424" t="s">
        <v>80</v>
      </c>
      <c r="M424" t="s">
        <v>72</v>
      </c>
      <c r="R424" t="s">
        <v>284</v>
      </c>
      <c r="W424" t="s">
        <v>5525</v>
      </c>
      <c r="X424" t="s">
        <v>4105</v>
      </c>
      <c r="Y424" t="s">
        <v>242</v>
      </c>
      <c r="Z424" t="s">
        <v>73</v>
      </c>
      <c r="AA424" t="str">
        <f>"14701-2545"</f>
        <v>14701-2545</v>
      </c>
      <c r="AB424" t="s">
        <v>74</v>
      </c>
      <c r="AC424" t="s">
        <v>75</v>
      </c>
      <c r="AD424" t="s">
        <v>72</v>
      </c>
      <c r="AE424" t="s">
        <v>76</v>
      </c>
      <c r="AF424" t="s">
        <v>4049</v>
      </c>
      <c r="AG424" t="s">
        <v>77</v>
      </c>
    </row>
    <row r="425" spans="1:33" x14ac:dyDescent="0.25">
      <c r="A425" t="str">
        <f>"1730150384"</f>
        <v>1730150384</v>
      </c>
      <c r="B425" t="str">
        <f>"02047432"</f>
        <v>02047432</v>
      </c>
      <c r="C425" t="s">
        <v>5526</v>
      </c>
      <c r="D425" t="s">
        <v>5527</v>
      </c>
      <c r="E425" t="s">
        <v>5528</v>
      </c>
      <c r="G425" t="s">
        <v>5076</v>
      </c>
      <c r="H425" t="s">
        <v>5077</v>
      </c>
      <c r="J425" t="s">
        <v>5078</v>
      </c>
      <c r="L425" t="s">
        <v>79</v>
      </c>
      <c r="M425" t="s">
        <v>72</v>
      </c>
      <c r="R425" t="s">
        <v>5528</v>
      </c>
      <c r="W425" t="s">
        <v>5528</v>
      </c>
      <c r="X425" t="s">
        <v>5529</v>
      </c>
      <c r="Y425" t="s">
        <v>117</v>
      </c>
      <c r="Z425" t="s">
        <v>73</v>
      </c>
      <c r="AA425" t="str">
        <f>"14203-1126"</f>
        <v>14203-1126</v>
      </c>
      <c r="AB425" t="s">
        <v>74</v>
      </c>
      <c r="AC425" t="s">
        <v>75</v>
      </c>
      <c r="AD425" t="s">
        <v>72</v>
      </c>
      <c r="AE425" t="s">
        <v>76</v>
      </c>
      <c r="AF425" t="s">
        <v>3974</v>
      </c>
      <c r="AG425" t="s">
        <v>77</v>
      </c>
    </row>
    <row r="426" spans="1:33" x14ac:dyDescent="0.25">
      <c r="A426" t="str">
        <f>"1073568358"</f>
        <v>1073568358</v>
      </c>
      <c r="B426" t="str">
        <f>"01202217"</f>
        <v>01202217</v>
      </c>
      <c r="C426" t="s">
        <v>5530</v>
      </c>
      <c r="D426" t="s">
        <v>5531</v>
      </c>
      <c r="E426" t="s">
        <v>5532</v>
      </c>
      <c r="G426" t="s">
        <v>5533</v>
      </c>
      <c r="H426" t="s">
        <v>2383</v>
      </c>
      <c r="J426" t="s">
        <v>5534</v>
      </c>
      <c r="L426" t="s">
        <v>80</v>
      </c>
      <c r="M426" t="s">
        <v>81</v>
      </c>
      <c r="R426" t="s">
        <v>5535</v>
      </c>
      <c r="W426" t="s">
        <v>5532</v>
      </c>
      <c r="Y426" t="s">
        <v>117</v>
      </c>
      <c r="Z426" t="s">
        <v>73</v>
      </c>
      <c r="AA426" t="str">
        <f>"14222-2099"</f>
        <v>14222-2099</v>
      </c>
      <c r="AB426" t="s">
        <v>74</v>
      </c>
      <c r="AC426" t="s">
        <v>75</v>
      </c>
      <c r="AD426" t="s">
        <v>72</v>
      </c>
      <c r="AE426" t="s">
        <v>76</v>
      </c>
      <c r="AF426" t="s">
        <v>3961</v>
      </c>
      <c r="AG426" t="s">
        <v>77</v>
      </c>
    </row>
    <row r="427" spans="1:33" x14ac:dyDescent="0.25">
      <c r="A427" t="str">
        <f>"1629140587"</f>
        <v>1629140587</v>
      </c>
      <c r="B427" t="str">
        <f>"01145748"</f>
        <v>01145748</v>
      </c>
      <c r="C427" t="s">
        <v>5536</v>
      </c>
      <c r="D427" t="s">
        <v>5537</v>
      </c>
      <c r="E427" t="s">
        <v>5538</v>
      </c>
      <c r="G427" t="s">
        <v>5539</v>
      </c>
      <c r="H427" t="s">
        <v>5540</v>
      </c>
      <c r="J427" t="s">
        <v>5541</v>
      </c>
      <c r="L427" t="s">
        <v>71</v>
      </c>
      <c r="M427" t="s">
        <v>72</v>
      </c>
      <c r="R427" t="s">
        <v>5542</v>
      </c>
      <c r="W427" t="s">
        <v>5543</v>
      </c>
      <c r="X427" t="s">
        <v>5544</v>
      </c>
      <c r="Y427" t="s">
        <v>117</v>
      </c>
      <c r="Z427" t="s">
        <v>73</v>
      </c>
      <c r="AA427" t="str">
        <f>"14220-1338"</f>
        <v>14220-1338</v>
      </c>
      <c r="AB427" t="s">
        <v>113</v>
      </c>
      <c r="AC427" t="s">
        <v>75</v>
      </c>
      <c r="AD427" t="s">
        <v>72</v>
      </c>
      <c r="AE427" t="s">
        <v>76</v>
      </c>
      <c r="AF427" t="s">
        <v>3974</v>
      </c>
      <c r="AG427" t="s">
        <v>77</v>
      </c>
    </row>
    <row r="428" spans="1:33" x14ac:dyDescent="0.25">
      <c r="A428" t="str">
        <f>"1578791992"</f>
        <v>1578791992</v>
      </c>
      <c r="B428" t="str">
        <f>"03135760"</f>
        <v>03135760</v>
      </c>
      <c r="C428" t="s">
        <v>5545</v>
      </c>
      <c r="D428" t="s">
        <v>1773</v>
      </c>
      <c r="E428" t="s">
        <v>1774</v>
      </c>
      <c r="G428" t="s">
        <v>5546</v>
      </c>
      <c r="H428" t="s">
        <v>5547</v>
      </c>
      <c r="J428" t="s">
        <v>5548</v>
      </c>
      <c r="L428" t="s">
        <v>79</v>
      </c>
      <c r="M428" t="s">
        <v>72</v>
      </c>
      <c r="R428" t="s">
        <v>1774</v>
      </c>
      <c r="W428" t="s">
        <v>1775</v>
      </c>
      <c r="X428" t="s">
        <v>1542</v>
      </c>
      <c r="Y428" t="s">
        <v>221</v>
      </c>
      <c r="Z428" t="s">
        <v>73</v>
      </c>
      <c r="AA428" t="str">
        <f>"14221-8216"</f>
        <v>14221-8216</v>
      </c>
      <c r="AB428" t="s">
        <v>74</v>
      </c>
      <c r="AC428" t="s">
        <v>75</v>
      </c>
      <c r="AD428" t="s">
        <v>72</v>
      </c>
      <c r="AE428" t="s">
        <v>76</v>
      </c>
      <c r="AG428" t="s">
        <v>77</v>
      </c>
    </row>
    <row r="429" spans="1:33" x14ac:dyDescent="0.25">
      <c r="A429" t="str">
        <f>"1316155500"</f>
        <v>1316155500</v>
      </c>
      <c r="B429" t="str">
        <f>"02938549"</f>
        <v>02938549</v>
      </c>
      <c r="C429" t="s">
        <v>5549</v>
      </c>
      <c r="D429" t="s">
        <v>2623</v>
      </c>
      <c r="E429" t="s">
        <v>2624</v>
      </c>
      <c r="G429" t="s">
        <v>4887</v>
      </c>
      <c r="H429" t="s">
        <v>789</v>
      </c>
      <c r="J429" t="s">
        <v>4888</v>
      </c>
      <c r="L429" t="s">
        <v>79</v>
      </c>
      <c r="M429" t="s">
        <v>72</v>
      </c>
      <c r="R429" t="s">
        <v>2625</v>
      </c>
      <c r="W429" t="s">
        <v>2626</v>
      </c>
      <c r="X429" t="s">
        <v>1900</v>
      </c>
      <c r="Y429" t="s">
        <v>228</v>
      </c>
      <c r="Z429" t="s">
        <v>73</v>
      </c>
      <c r="AA429" t="str">
        <f>"14226-1727"</f>
        <v>14226-1727</v>
      </c>
      <c r="AB429" t="s">
        <v>74</v>
      </c>
      <c r="AC429" t="s">
        <v>75</v>
      </c>
      <c r="AD429" t="s">
        <v>72</v>
      </c>
      <c r="AE429" t="s">
        <v>76</v>
      </c>
      <c r="AF429" t="s">
        <v>3974</v>
      </c>
      <c r="AG429" t="s">
        <v>77</v>
      </c>
    </row>
    <row r="430" spans="1:33" x14ac:dyDescent="0.25">
      <c r="A430" t="str">
        <f>"1922050012"</f>
        <v>1922050012</v>
      </c>
      <c r="B430" t="str">
        <f>"01843232"</f>
        <v>01843232</v>
      </c>
      <c r="C430" t="s">
        <v>5550</v>
      </c>
      <c r="D430" t="s">
        <v>3360</v>
      </c>
      <c r="E430" t="s">
        <v>3361</v>
      </c>
      <c r="G430" t="s">
        <v>5550</v>
      </c>
      <c r="H430" t="s">
        <v>1458</v>
      </c>
      <c r="J430" t="s">
        <v>5551</v>
      </c>
      <c r="L430" t="s">
        <v>96</v>
      </c>
      <c r="M430" t="s">
        <v>72</v>
      </c>
      <c r="R430" t="s">
        <v>3363</v>
      </c>
      <c r="W430" t="s">
        <v>3361</v>
      </c>
      <c r="X430" t="s">
        <v>3364</v>
      </c>
      <c r="Y430" t="s">
        <v>209</v>
      </c>
      <c r="Z430" t="s">
        <v>73</v>
      </c>
      <c r="AA430" t="str">
        <f>"14301-1136"</f>
        <v>14301-1136</v>
      </c>
      <c r="AB430" t="s">
        <v>74</v>
      </c>
      <c r="AC430" t="s">
        <v>75</v>
      </c>
      <c r="AD430" t="s">
        <v>72</v>
      </c>
      <c r="AE430" t="s">
        <v>76</v>
      </c>
      <c r="AF430" t="s">
        <v>3974</v>
      </c>
      <c r="AG430" t="s">
        <v>77</v>
      </c>
    </row>
    <row r="431" spans="1:33" x14ac:dyDescent="0.25">
      <c r="A431" t="str">
        <f>"1891982450"</f>
        <v>1891982450</v>
      </c>
      <c r="B431" t="str">
        <f>"03353697"</f>
        <v>03353697</v>
      </c>
      <c r="C431" t="s">
        <v>5552</v>
      </c>
      <c r="D431" t="s">
        <v>3411</v>
      </c>
      <c r="E431" t="s">
        <v>3412</v>
      </c>
      <c r="G431" t="s">
        <v>4825</v>
      </c>
      <c r="H431" t="s">
        <v>4826</v>
      </c>
      <c r="J431" t="s">
        <v>4827</v>
      </c>
      <c r="L431" t="s">
        <v>79</v>
      </c>
      <c r="M431" t="s">
        <v>72</v>
      </c>
      <c r="R431" t="s">
        <v>3412</v>
      </c>
      <c r="W431" t="s">
        <v>3412</v>
      </c>
      <c r="X431" t="s">
        <v>3402</v>
      </c>
      <c r="Y431" t="s">
        <v>326</v>
      </c>
      <c r="Z431" t="s">
        <v>73</v>
      </c>
      <c r="AA431" t="str">
        <f>"14127-1562"</f>
        <v>14127-1562</v>
      </c>
      <c r="AB431" t="s">
        <v>74</v>
      </c>
      <c r="AC431" t="s">
        <v>75</v>
      </c>
      <c r="AD431" t="s">
        <v>72</v>
      </c>
      <c r="AE431" t="s">
        <v>76</v>
      </c>
      <c r="AF431" t="s">
        <v>3974</v>
      </c>
      <c r="AG431" t="s">
        <v>77</v>
      </c>
    </row>
    <row r="432" spans="1:33" x14ac:dyDescent="0.25">
      <c r="A432" t="str">
        <f>"1609831536"</f>
        <v>1609831536</v>
      </c>
      <c r="B432" t="str">
        <f>"00637274"</f>
        <v>00637274</v>
      </c>
      <c r="C432" t="s">
        <v>5553</v>
      </c>
      <c r="D432" t="s">
        <v>1385</v>
      </c>
      <c r="E432" t="s">
        <v>1386</v>
      </c>
      <c r="G432" t="s">
        <v>5553</v>
      </c>
      <c r="H432" t="s">
        <v>1063</v>
      </c>
      <c r="J432" t="s">
        <v>5554</v>
      </c>
      <c r="L432" t="s">
        <v>80</v>
      </c>
      <c r="M432" t="s">
        <v>72</v>
      </c>
      <c r="R432" t="s">
        <v>1387</v>
      </c>
      <c r="W432" t="s">
        <v>1386</v>
      </c>
      <c r="X432" t="s">
        <v>1388</v>
      </c>
      <c r="Y432" t="s">
        <v>221</v>
      </c>
      <c r="Z432" t="s">
        <v>73</v>
      </c>
      <c r="AA432" t="str">
        <f>"14221-3275"</f>
        <v>14221-3275</v>
      </c>
      <c r="AB432" t="s">
        <v>74</v>
      </c>
      <c r="AC432" t="s">
        <v>75</v>
      </c>
      <c r="AD432" t="s">
        <v>72</v>
      </c>
      <c r="AE432" t="s">
        <v>76</v>
      </c>
      <c r="AF432" t="s">
        <v>4431</v>
      </c>
      <c r="AG432" t="s">
        <v>77</v>
      </c>
    </row>
    <row r="433" spans="1:33" x14ac:dyDescent="0.25">
      <c r="A433" t="str">
        <f>"1811933856"</f>
        <v>1811933856</v>
      </c>
      <c r="B433" t="str">
        <f>"02651090"</f>
        <v>02651090</v>
      </c>
      <c r="C433" t="s">
        <v>5555</v>
      </c>
      <c r="D433" t="s">
        <v>5556</v>
      </c>
      <c r="E433" t="s">
        <v>5557</v>
      </c>
      <c r="L433" t="s">
        <v>79</v>
      </c>
      <c r="M433" t="s">
        <v>72</v>
      </c>
      <c r="R433" t="s">
        <v>5558</v>
      </c>
      <c r="W433" t="s">
        <v>5559</v>
      </c>
      <c r="X433" t="s">
        <v>1895</v>
      </c>
      <c r="Y433" t="s">
        <v>1079</v>
      </c>
      <c r="Z433" t="s">
        <v>73</v>
      </c>
      <c r="AA433" t="str">
        <f>"14075-2600"</f>
        <v>14075-2600</v>
      </c>
      <c r="AB433" t="s">
        <v>74</v>
      </c>
      <c r="AC433" t="s">
        <v>75</v>
      </c>
      <c r="AD433" t="s">
        <v>72</v>
      </c>
      <c r="AE433" t="s">
        <v>76</v>
      </c>
      <c r="AF433" t="s">
        <v>3961</v>
      </c>
      <c r="AG433" t="s">
        <v>77</v>
      </c>
    </row>
    <row r="434" spans="1:33" x14ac:dyDescent="0.25">
      <c r="A434" t="str">
        <f>"1669638953"</f>
        <v>1669638953</v>
      </c>
      <c r="B434" t="str">
        <f>"03409538"</f>
        <v>03409538</v>
      </c>
      <c r="C434" t="s">
        <v>5560</v>
      </c>
      <c r="D434" t="s">
        <v>5561</v>
      </c>
      <c r="E434" t="s">
        <v>5562</v>
      </c>
      <c r="L434" t="s">
        <v>79</v>
      </c>
      <c r="M434" t="s">
        <v>72</v>
      </c>
      <c r="R434" t="s">
        <v>5563</v>
      </c>
      <c r="W434" t="s">
        <v>5564</v>
      </c>
      <c r="X434" t="s">
        <v>566</v>
      </c>
      <c r="Y434" t="s">
        <v>247</v>
      </c>
      <c r="Z434" t="s">
        <v>73</v>
      </c>
      <c r="AA434" t="str">
        <f>"14225-2591"</f>
        <v>14225-2591</v>
      </c>
      <c r="AB434" t="s">
        <v>74</v>
      </c>
      <c r="AC434" t="s">
        <v>75</v>
      </c>
      <c r="AD434" t="s">
        <v>72</v>
      </c>
      <c r="AE434" t="s">
        <v>76</v>
      </c>
      <c r="AF434" t="s">
        <v>3974</v>
      </c>
      <c r="AG434" t="s">
        <v>77</v>
      </c>
    </row>
    <row r="435" spans="1:33" x14ac:dyDescent="0.25">
      <c r="A435" t="str">
        <f>"1063572378"</f>
        <v>1063572378</v>
      </c>
      <c r="B435" t="str">
        <f>"02636666"</f>
        <v>02636666</v>
      </c>
      <c r="C435" t="s">
        <v>5565</v>
      </c>
      <c r="D435" t="s">
        <v>5566</v>
      </c>
      <c r="E435" t="s">
        <v>5567</v>
      </c>
      <c r="L435" t="s">
        <v>71</v>
      </c>
      <c r="M435" t="s">
        <v>72</v>
      </c>
      <c r="R435" t="s">
        <v>5568</v>
      </c>
      <c r="W435" t="s">
        <v>5569</v>
      </c>
      <c r="X435" t="s">
        <v>1320</v>
      </c>
      <c r="Y435" t="s">
        <v>117</v>
      </c>
      <c r="Z435" t="s">
        <v>73</v>
      </c>
      <c r="AA435" t="str">
        <f>"14215-1145"</f>
        <v>14215-1145</v>
      </c>
      <c r="AB435" t="s">
        <v>74</v>
      </c>
      <c r="AC435" t="s">
        <v>75</v>
      </c>
      <c r="AD435" t="s">
        <v>72</v>
      </c>
      <c r="AE435" t="s">
        <v>76</v>
      </c>
      <c r="AF435" t="s">
        <v>3974</v>
      </c>
      <c r="AG435" t="s">
        <v>77</v>
      </c>
    </row>
    <row r="436" spans="1:33" x14ac:dyDescent="0.25">
      <c r="A436" t="str">
        <f>"1427142140"</f>
        <v>1427142140</v>
      </c>
      <c r="B436" t="str">
        <f>"02518601"</f>
        <v>02518601</v>
      </c>
      <c r="C436" t="s">
        <v>5570</v>
      </c>
      <c r="D436" t="s">
        <v>5571</v>
      </c>
      <c r="E436" t="s">
        <v>5572</v>
      </c>
      <c r="L436" t="s">
        <v>71</v>
      </c>
      <c r="M436" t="s">
        <v>72</v>
      </c>
      <c r="R436" t="s">
        <v>5573</v>
      </c>
      <c r="W436" t="s">
        <v>5572</v>
      </c>
      <c r="Y436" t="s">
        <v>117</v>
      </c>
      <c r="Z436" t="s">
        <v>73</v>
      </c>
      <c r="AA436" t="str">
        <f>"14215-1145"</f>
        <v>14215-1145</v>
      </c>
      <c r="AB436" t="s">
        <v>74</v>
      </c>
      <c r="AC436" t="s">
        <v>75</v>
      </c>
      <c r="AD436" t="s">
        <v>72</v>
      </c>
      <c r="AE436" t="s">
        <v>76</v>
      </c>
      <c r="AF436" t="s">
        <v>3974</v>
      </c>
      <c r="AG436" t="s">
        <v>77</v>
      </c>
    </row>
    <row r="437" spans="1:33" x14ac:dyDescent="0.25">
      <c r="A437" t="str">
        <f>"1699037093"</f>
        <v>1699037093</v>
      </c>
      <c r="B437" t="str">
        <f>"03479527"</f>
        <v>03479527</v>
      </c>
      <c r="C437" t="s">
        <v>5574</v>
      </c>
      <c r="D437" t="s">
        <v>5575</v>
      </c>
      <c r="E437" t="s">
        <v>5576</v>
      </c>
      <c r="L437" t="s">
        <v>71</v>
      </c>
      <c r="M437" t="s">
        <v>72</v>
      </c>
      <c r="R437" t="s">
        <v>5577</v>
      </c>
      <c r="W437" t="s">
        <v>5576</v>
      </c>
      <c r="X437" t="s">
        <v>3410</v>
      </c>
      <c r="Y437" t="s">
        <v>326</v>
      </c>
      <c r="Z437" t="s">
        <v>73</v>
      </c>
      <c r="AA437" t="str">
        <f>"14127-1500"</f>
        <v>14127-1500</v>
      </c>
      <c r="AB437" t="s">
        <v>74</v>
      </c>
      <c r="AC437" t="s">
        <v>75</v>
      </c>
      <c r="AD437" t="s">
        <v>72</v>
      </c>
      <c r="AE437" t="s">
        <v>76</v>
      </c>
      <c r="AF437" t="s">
        <v>3974</v>
      </c>
      <c r="AG437" t="s">
        <v>77</v>
      </c>
    </row>
    <row r="438" spans="1:33" x14ac:dyDescent="0.25">
      <c r="A438" t="str">
        <f>"1376535716"</f>
        <v>1376535716</v>
      </c>
      <c r="B438" t="str">
        <f>"02343882"</f>
        <v>02343882</v>
      </c>
      <c r="C438" t="s">
        <v>5578</v>
      </c>
      <c r="D438" t="s">
        <v>5579</v>
      </c>
      <c r="E438" t="s">
        <v>5580</v>
      </c>
      <c r="L438" t="s">
        <v>79</v>
      </c>
      <c r="M438" t="s">
        <v>72</v>
      </c>
      <c r="R438" t="s">
        <v>5581</v>
      </c>
      <c r="W438" t="s">
        <v>5582</v>
      </c>
      <c r="X438" t="s">
        <v>908</v>
      </c>
      <c r="Y438" t="s">
        <v>630</v>
      </c>
      <c r="Z438" t="s">
        <v>73</v>
      </c>
      <c r="AA438" t="str">
        <f>"14043-4783"</f>
        <v>14043-4783</v>
      </c>
      <c r="AB438" t="s">
        <v>74</v>
      </c>
      <c r="AC438" t="s">
        <v>75</v>
      </c>
      <c r="AD438" t="s">
        <v>72</v>
      </c>
      <c r="AE438" t="s">
        <v>76</v>
      </c>
      <c r="AF438" t="s">
        <v>3974</v>
      </c>
      <c r="AG438" t="s">
        <v>77</v>
      </c>
    </row>
    <row r="439" spans="1:33" x14ac:dyDescent="0.25">
      <c r="A439" t="str">
        <f>"1477667947"</f>
        <v>1477667947</v>
      </c>
      <c r="B439" t="str">
        <f>"02722787"</f>
        <v>02722787</v>
      </c>
      <c r="C439" t="s">
        <v>5583</v>
      </c>
      <c r="D439" t="s">
        <v>5584</v>
      </c>
      <c r="E439" t="s">
        <v>5585</v>
      </c>
      <c r="L439" t="s">
        <v>79</v>
      </c>
      <c r="M439" t="s">
        <v>72</v>
      </c>
      <c r="R439" t="s">
        <v>5586</v>
      </c>
      <c r="W439" t="s">
        <v>5585</v>
      </c>
      <c r="X439" t="s">
        <v>310</v>
      </c>
      <c r="Y439" t="s">
        <v>307</v>
      </c>
      <c r="Z439" t="s">
        <v>73</v>
      </c>
      <c r="AA439" t="str">
        <f>"14020-1631"</f>
        <v>14020-1631</v>
      </c>
      <c r="AB439" t="s">
        <v>74</v>
      </c>
      <c r="AC439" t="s">
        <v>75</v>
      </c>
      <c r="AD439" t="s">
        <v>72</v>
      </c>
      <c r="AE439" t="s">
        <v>76</v>
      </c>
      <c r="AG439" t="s">
        <v>77</v>
      </c>
    </row>
    <row r="440" spans="1:33" x14ac:dyDescent="0.25">
      <c r="A440" t="str">
        <f>"1942443668"</f>
        <v>1942443668</v>
      </c>
      <c r="B440" t="str">
        <f>"03113462"</f>
        <v>03113462</v>
      </c>
      <c r="C440" t="s">
        <v>5587</v>
      </c>
      <c r="D440" t="s">
        <v>3258</v>
      </c>
      <c r="E440" t="s">
        <v>3259</v>
      </c>
      <c r="L440" t="s">
        <v>71</v>
      </c>
      <c r="M440" t="s">
        <v>72</v>
      </c>
      <c r="R440" t="s">
        <v>3260</v>
      </c>
      <c r="W440" t="s">
        <v>3259</v>
      </c>
      <c r="X440" t="s">
        <v>456</v>
      </c>
      <c r="Y440" t="s">
        <v>209</v>
      </c>
      <c r="Z440" t="s">
        <v>73</v>
      </c>
      <c r="AA440" t="str">
        <f>"14301-1813"</f>
        <v>14301-1813</v>
      </c>
      <c r="AB440" t="s">
        <v>74</v>
      </c>
      <c r="AC440" t="s">
        <v>75</v>
      </c>
      <c r="AD440" t="s">
        <v>72</v>
      </c>
      <c r="AE440" t="s">
        <v>76</v>
      </c>
      <c r="AF440" t="s">
        <v>3974</v>
      </c>
      <c r="AG440" t="s">
        <v>77</v>
      </c>
    </row>
    <row r="441" spans="1:33" x14ac:dyDescent="0.25">
      <c r="A441" t="str">
        <f>"1720417058"</f>
        <v>1720417058</v>
      </c>
      <c r="C441" t="s">
        <v>5588</v>
      </c>
      <c r="G441" t="s">
        <v>396</v>
      </c>
      <c r="H441" t="s">
        <v>397</v>
      </c>
      <c r="J441" t="s">
        <v>398</v>
      </c>
      <c r="K441" t="s">
        <v>89</v>
      </c>
      <c r="L441" t="s">
        <v>71</v>
      </c>
      <c r="M441" t="s">
        <v>72</v>
      </c>
      <c r="R441" t="s">
        <v>2535</v>
      </c>
      <c r="S441" t="s">
        <v>674</v>
      </c>
      <c r="T441" t="s">
        <v>365</v>
      </c>
      <c r="U441" t="s">
        <v>73</v>
      </c>
      <c r="V441" t="str">
        <f>"141509200"</f>
        <v>141509200</v>
      </c>
      <c r="AC441" t="s">
        <v>75</v>
      </c>
      <c r="AD441" t="s">
        <v>72</v>
      </c>
      <c r="AE441" t="s">
        <v>93</v>
      </c>
      <c r="AF441" t="s">
        <v>4043</v>
      </c>
      <c r="AG441" t="s">
        <v>77</v>
      </c>
    </row>
    <row r="442" spans="1:33" x14ac:dyDescent="0.25">
      <c r="A442" t="str">
        <f>"1184655524"</f>
        <v>1184655524</v>
      </c>
      <c r="B442" t="str">
        <f>"01963813"</f>
        <v>01963813</v>
      </c>
      <c r="C442" t="s">
        <v>5589</v>
      </c>
      <c r="D442" t="s">
        <v>3130</v>
      </c>
      <c r="E442" t="s">
        <v>3131</v>
      </c>
      <c r="G442" t="s">
        <v>396</v>
      </c>
      <c r="H442" t="s">
        <v>397</v>
      </c>
      <c r="J442" t="s">
        <v>398</v>
      </c>
      <c r="L442" t="s">
        <v>96</v>
      </c>
      <c r="M442" t="s">
        <v>72</v>
      </c>
      <c r="R442" t="s">
        <v>3131</v>
      </c>
      <c r="W442" t="s">
        <v>3131</v>
      </c>
      <c r="X442" t="s">
        <v>680</v>
      </c>
      <c r="Y442" t="s">
        <v>117</v>
      </c>
      <c r="Z442" t="s">
        <v>73</v>
      </c>
      <c r="AA442" t="str">
        <f>"14210-2324"</f>
        <v>14210-2324</v>
      </c>
      <c r="AB442" t="s">
        <v>104</v>
      </c>
      <c r="AC442" t="s">
        <v>75</v>
      </c>
      <c r="AD442" t="s">
        <v>72</v>
      </c>
      <c r="AE442" t="s">
        <v>76</v>
      </c>
      <c r="AF442" t="s">
        <v>4043</v>
      </c>
      <c r="AG442" t="s">
        <v>77</v>
      </c>
    </row>
    <row r="443" spans="1:33" x14ac:dyDescent="0.25">
      <c r="A443" t="str">
        <f>"1265778880"</f>
        <v>1265778880</v>
      </c>
      <c r="C443" t="s">
        <v>5590</v>
      </c>
      <c r="G443" t="s">
        <v>396</v>
      </c>
      <c r="H443" t="s">
        <v>397</v>
      </c>
      <c r="J443" t="s">
        <v>398</v>
      </c>
      <c r="K443" t="s">
        <v>89</v>
      </c>
      <c r="L443" t="s">
        <v>71</v>
      </c>
      <c r="M443" t="s">
        <v>72</v>
      </c>
      <c r="R443" t="s">
        <v>3238</v>
      </c>
      <c r="S443" t="s">
        <v>3239</v>
      </c>
      <c r="T443" t="s">
        <v>117</v>
      </c>
      <c r="U443" t="s">
        <v>73</v>
      </c>
      <c r="V443" t="str">
        <f>"142091912"</f>
        <v>142091912</v>
      </c>
      <c r="AC443" t="s">
        <v>75</v>
      </c>
      <c r="AD443" t="s">
        <v>72</v>
      </c>
      <c r="AE443" t="s">
        <v>93</v>
      </c>
      <c r="AF443" t="s">
        <v>4043</v>
      </c>
      <c r="AG443" t="s">
        <v>77</v>
      </c>
    </row>
    <row r="444" spans="1:33" x14ac:dyDescent="0.25">
      <c r="A444" t="str">
        <f>"1700913027"</f>
        <v>1700913027</v>
      </c>
      <c r="C444" t="s">
        <v>5591</v>
      </c>
      <c r="G444" t="s">
        <v>396</v>
      </c>
      <c r="H444" t="s">
        <v>397</v>
      </c>
      <c r="J444" t="s">
        <v>398</v>
      </c>
      <c r="K444" t="s">
        <v>89</v>
      </c>
      <c r="L444" t="s">
        <v>71</v>
      </c>
      <c r="M444" t="s">
        <v>72</v>
      </c>
      <c r="R444" t="s">
        <v>1869</v>
      </c>
      <c r="S444" t="s">
        <v>1870</v>
      </c>
      <c r="T444" t="s">
        <v>117</v>
      </c>
      <c r="U444" t="s">
        <v>73</v>
      </c>
      <c r="V444" t="str">
        <f>"142091912"</f>
        <v>142091912</v>
      </c>
      <c r="AC444" t="s">
        <v>75</v>
      </c>
      <c r="AD444" t="s">
        <v>72</v>
      </c>
      <c r="AE444" t="s">
        <v>93</v>
      </c>
      <c r="AF444" t="s">
        <v>4043</v>
      </c>
      <c r="AG444" t="s">
        <v>77</v>
      </c>
    </row>
    <row r="445" spans="1:33" x14ac:dyDescent="0.25">
      <c r="A445" t="str">
        <f>"1619103710"</f>
        <v>1619103710</v>
      </c>
      <c r="C445" t="s">
        <v>5592</v>
      </c>
      <c r="G445" t="s">
        <v>396</v>
      </c>
      <c r="H445" t="s">
        <v>397</v>
      </c>
      <c r="J445" t="s">
        <v>398</v>
      </c>
      <c r="K445" t="s">
        <v>89</v>
      </c>
      <c r="L445" t="s">
        <v>92</v>
      </c>
      <c r="M445" t="s">
        <v>72</v>
      </c>
      <c r="R445" t="s">
        <v>1584</v>
      </c>
      <c r="S445" t="s">
        <v>471</v>
      </c>
      <c r="T445" t="s">
        <v>311</v>
      </c>
      <c r="U445" t="s">
        <v>73</v>
      </c>
      <c r="V445" t="str">
        <f>"145691017"</f>
        <v>145691017</v>
      </c>
      <c r="AC445" t="s">
        <v>75</v>
      </c>
      <c r="AD445" t="s">
        <v>72</v>
      </c>
      <c r="AE445" t="s">
        <v>93</v>
      </c>
      <c r="AF445" t="s">
        <v>4043</v>
      </c>
      <c r="AG445" t="s">
        <v>77</v>
      </c>
    </row>
    <row r="446" spans="1:33" x14ac:dyDescent="0.25">
      <c r="A446" t="str">
        <f>"1588628267"</f>
        <v>1588628267</v>
      </c>
      <c r="B446" t="str">
        <f>"03151113"</f>
        <v>03151113</v>
      </c>
      <c r="C446" t="s">
        <v>5593</v>
      </c>
      <c r="D446" t="s">
        <v>1504</v>
      </c>
      <c r="E446" t="s">
        <v>1505</v>
      </c>
      <c r="G446" t="s">
        <v>396</v>
      </c>
      <c r="H446" t="s">
        <v>397</v>
      </c>
      <c r="J446" t="s">
        <v>398</v>
      </c>
      <c r="L446" t="s">
        <v>96</v>
      </c>
      <c r="M446" t="s">
        <v>72</v>
      </c>
      <c r="R446" t="s">
        <v>1506</v>
      </c>
      <c r="W446" t="s">
        <v>1505</v>
      </c>
      <c r="X446" t="s">
        <v>399</v>
      </c>
      <c r="Y446" t="s">
        <v>311</v>
      </c>
      <c r="Z446" t="s">
        <v>73</v>
      </c>
      <c r="AA446" t="str">
        <f>"14569-1258"</f>
        <v>14569-1258</v>
      </c>
      <c r="AB446" t="s">
        <v>104</v>
      </c>
      <c r="AC446" t="s">
        <v>75</v>
      </c>
      <c r="AD446" t="s">
        <v>72</v>
      </c>
      <c r="AE446" t="s">
        <v>76</v>
      </c>
      <c r="AF446" t="s">
        <v>4043</v>
      </c>
      <c r="AG446" t="s">
        <v>77</v>
      </c>
    </row>
    <row r="447" spans="1:33" x14ac:dyDescent="0.25">
      <c r="A447" t="str">
        <f>"1538454194"</f>
        <v>1538454194</v>
      </c>
      <c r="B447" t="str">
        <f>"04042595"</f>
        <v>04042595</v>
      </c>
      <c r="C447" t="s">
        <v>5594</v>
      </c>
      <c r="D447" t="s">
        <v>1352</v>
      </c>
      <c r="E447" t="s">
        <v>1353</v>
      </c>
      <c r="G447" t="s">
        <v>396</v>
      </c>
      <c r="H447" t="s">
        <v>397</v>
      </c>
      <c r="J447" t="s">
        <v>398</v>
      </c>
      <c r="L447" t="s">
        <v>71</v>
      </c>
      <c r="M447" t="s">
        <v>72</v>
      </c>
      <c r="R447" t="s">
        <v>1354</v>
      </c>
      <c r="W447" t="s">
        <v>1353</v>
      </c>
      <c r="X447" t="s">
        <v>413</v>
      </c>
      <c r="Y447" t="s">
        <v>326</v>
      </c>
      <c r="Z447" t="s">
        <v>73</v>
      </c>
      <c r="AA447" t="str">
        <f>"14127-2600"</f>
        <v>14127-2600</v>
      </c>
      <c r="AB447" t="s">
        <v>104</v>
      </c>
      <c r="AC447" t="s">
        <v>75</v>
      </c>
      <c r="AD447" t="s">
        <v>72</v>
      </c>
      <c r="AE447" t="s">
        <v>76</v>
      </c>
      <c r="AF447" t="s">
        <v>4043</v>
      </c>
      <c r="AG447" t="s">
        <v>77</v>
      </c>
    </row>
    <row r="448" spans="1:33" x14ac:dyDescent="0.25">
      <c r="A448" t="str">
        <f>"1487712857"</f>
        <v>1487712857</v>
      </c>
      <c r="C448" t="s">
        <v>5595</v>
      </c>
      <c r="G448" t="s">
        <v>396</v>
      </c>
      <c r="H448" t="s">
        <v>397</v>
      </c>
      <c r="J448" t="s">
        <v>398</v>
      </c>
      <c r="K448" t="s">
        <v>89</v>
      </c>
      <c r="L448" t="s">
        <v>71</v>
      </c>
      <c r="M448" t="s">
        <v>72</v>
      </c>
      <c r="R448" t="s">
        <v>901</v>
      </c>
      <c r="S448" t="s">
        <v>902</v>
      </c>
      <c r="T448" t="s">
        <v>237</v>
      </c>
      <c r="U448" t="s">
        <v>73</v>
      </c>
      <c r="V448" t="str">
        <f>"142243022"</f>
        <v>142243022</v>
      </c>
      <c r="AC448" t="s">
        <v>75</v>
      </c>
      <c r="AD448" t="s">
        <v>72</v>
      </c>
      <c r="AE448" t="s">
        <v>93</v>
      </c>
      <c r="AF448" t="s">
        <v>4043</v>
      </c>
      <c r="AG448" t="s">
        <v>77</v>
      </c>
    </row>
    <row r="449" spans="1:33" x14ac:dyDescent="0.25">
      <c r="A449" t="str">
        <f>"1134293541"</f>
        <v>1134293541</v>
      </c>
      <c r="B449" t="str">
        <f>"02994241"</f>
        <v>02994241</v>
      </c>
      <c r="C449" t="s">
        <v>520</v>
      </c>
      <c r="D449" t="s">
        <v>521</v>
      </c>
      <c r="E449" t="s">
        <v>522</v>
      </c>
      <c r="G449" t="s">
        <v>429</v>
      </c>
      <c r="H449" t="s">
        <v>430</v>
      </c>
      <c r="J449" t="s">
        <v>431</v>
      </c>
      <c r="L449" t="s">
        <v>10</v>
      </c>
      <c r="M449" t="s">
        <v>72</v>
      </c>
      <c r="R449" t="s">
        <v>523</v>
      </c>
      <c r="W449" t="s">
        <v>524</v>
      </c>
      <c r="X449" t="s">
        <v>525</v>
      </c>
      <c r="Y449" t="s">
        <v>111</v>
      </c>
      <c r="Z449" t="s">
        <v>73</v>
      </c>
      <c r="AA449" t="str">
        <f>"14611-2335"</f>
        <v>14611-2335</v>
      </c>
      <c r="AB449" t="s">
        <v>88</v>
      </c>
      <c r="AC449" t="s">
        <v>75</v>
      </c>
      <c r="AD449" t="s">
        <v>72</v>
      </c>
      <c r="AE449" t="s">
        <v>76</v>
      </c>
      <c r="AF449" t="s">
        <v>4879</v>
      </c>
      <c r="AG449" t="s">
        <v>77</v>
      </c>
    </row>
    <row r="450" spans="1:33" x14ac:dyDescent="0.25">
      <c r="A450" t="str">
        <f>"1780756114"</f>
        <v>1780756114</v>
      </c>
      <c r="B450" t="str">
        <f>"00357557"</f>
        <v>00357557</v>
      </c>
      <c r="C450" t="s">
        <v>5596</v>
      </c>
      <c r="D450" t="s">
        <v>540</v>
      </c>
      <c r="E450" t="s">
        <v>541</v>
      </c>
      <c r="G450" t="s">
        <v>429</v>
      </c>
      <c r="H450" t="s">
        <v>430</v>
      </c>
      <c r="J450" t="s">
        <v>431</v>
      </c>
      <c r="L450" t="s">
        <v>10</v>
      </c>
      <c r="M450" t="s">
        <v>72</v>
      </c>
      <c r="R450" t="s">
        <v>542</v>
      </c>
      <c r="W450" t="s">
        <v>543</v>
      </c>
      <c r="X450" t="s">
        <v>544</v>
      </c>
      <c r="Y450" t="s">
        <v>111</v>
      </c>
      <c r="Z450" t="s">
        <v>73</v>
      </c>
      <c r="AA450" t="str">
        <f>"14620-1016"</f>
        <v>14620-1016</v>
      </c>
      <c r="AB450" t="s">
        <v>83</v>
      </c>
      <c r="AC450" t="s">
        <v>75</v>
      </c>
      <c r="AD450" t="s">
        <v>72</v>
      </c>
      <c r="AE450" t="s">
        <v>76</v>
      </c>
      <c r="AF450" t="s">
        <v>4879</v>
      </c>
      <c r="AG450" t="s">
        <v>77</v>
      </c>
    </row>
    <row r="451" spans="1:33" x14ac:dyDescent="0.25">
      <c r="A451" t="str">
        <f>"1336148709"</f>
        <v>1336148709</v>
      </c>
      <c r="B451" t="str">
        <f>"02396665"</f>
        <v>02396665</v>
      </c>
      <c r="C451" t="s">
        <v>5597</v>
      </c>
      <c r="D451" t="s">
        <v>5598</v>
      </c>
      <c r="E451" t="s">
        <v>5599</v>
      </c>
      <c r="G451" t="s">
        <v>5597</v>
      </c>
      <c r="H451" t="s">
        <v>2062</v>
      </c>
      <c r="J451" t="s">
        <v>5600</v>
      </c>
      <c r="L451" t="s">
        <v>80</v>
      </c>
      <c r="M451" t="s">
        <v>72</v>
      </c>
      <c r="R451" t="s">
        <v>5601</v>
      </c>
      <c r="W451" t="s">
        <v>5599</v>
      </c>
      <c r="X451" t="s">
        <v>2386</v>
      </c>
      <c r="Y451" t="s">
        <v>209</v>
      </c>
      <c r="Z451" t="s">
        <v>73</v>
      </c>
      <c r="AA451" t="str">
        <f>"14304-3025"</f>
        <v>14304-3025</v>
      </c>
      <c r="AB451" t="s">
        <v>74</v>
      </c>
      <c r="AC451" t="s">
        <v>75</v>
      </c>
      <c r="AD451" t="s">
        <v>72</v>
      </c>
      <c r="AE451" t="s">
        <v>76</v>
      </c>
      <c r="AF451" t="s">
        <v>3961</v>
      </c>
      <c r="AG451" t="s">
        <v>77</v>
      </c>
    </row>
    <row r="452" spans="1:33" x14ac:dyDescent="0.25">
      <c r="A452" t="str">
        <f>"1184692816"</f>
        <v>1184692816</v>
      </c>
      <c r="B452" t="str">
        <f>"02611705"</f>
        <v>02611705</v>
      </c>
      <c r="C452" t="s">
        <v>5602</v>
      </c>
      <c r="D452" t="s">
        <v>5603</v>
      </c>
      <c r="E452" t="s">
        <v>5604</v>
      </c>
      <c r="G452" t="s">
        <v>5509</v>
      </c>
      <c r="H452" t="s">
        <v>3357</v>
      </c>
      <c r="J452" t="s">
        <v>5511</v>
      </c>
      <c r="L452" t="s">
        <v>80</v>
      </c>
      <c r="M452" t="s">
        <v>72</v>
      </c>
      <c r="R452" t="s">
        <v>5605</v>
      </c>
      <c r="W452" t="s">
        <v>5604</v>
      </c>
      <c r="X452" t="s">
        <v>301</v>
      </c>
      <c r="Y452" t="s">
        <v>117</v>
      </c>
      <c r="Z452" t="s">
        <v>73</v>
      </c>
      <c r="AA452" t="str">
        <f>"14214-2648"</f>
        <v>14214-2648</v>
      </c>
      <c r="AB452" t="s">
        <v>74</v>
      </c>
      <c r="AC452" t="s">
        <v>75</v>
      </c>
      <c r="AD452" t="s">
        <v>72</v>
      </c>
      <c r="AE452" t="s">
        <v>76</v>
      </c>
      <c r="AF452" t="s">
        <v>3961</v>
      </c>
      <c r="AG452" t="s">
        <v>77</v>
      </c>
    </row>
    <row r="453" spans="1:33" x14ac:dyDescent="0.25">
      <c r="A453" t="str">
        <f>"1942534581"</f>
        <v>1942534581</v>
      </c>
      <c r="B453" t="str">
        <f>"03347995"</f>
        <v>03347995</v>
      </c>
      <c r="C453" t="s">
        <v>5606</v>
      </c>
      <c r="D453" t="s">
        <v>5607</v>
      </c>
      <c r="E453" t="s">
        <v>5608</v>
      </c>
      <c r="G453" t="s">
        <v>5609</v>
      </c>
      <c r="H453" t="s">
        <v>628</v>
      </c>
      <c r="J453" t="s">
        <v>5610</v>
      </c>
      <c r="L453" t="s">
        <v>80</v>
      </c>
      <c r="M453" t="s">
        <v>72</v>
      </c>
      <c r="R453" t="s">
        <v>5611</v>
      </c>
      <c r="W453" t="s">
        <v>5608</v>
      </c>
      <c r="X453" t="s">
        <v>5612</v>
      </c>
      <c r="Y453" t="s">
        <v>365</v>
      </c>
      <c r="Z453" t="s">
        <v>73</v>
      </c>
      <c r="AA453" t="str">
        <f>"14217-1234"</f>
        <v>14217-1234</v>
      </c>
      <c r="AB453" t="s">
        <v>74</v>
      </c>
      <c r="AC453" t="s">
        <v>75</v>
      </c>
      <c r="AD453" t="s">
        <v>72</v>
      </c>
      <c r="AE453" t="s">
        <v>76</v>
      </c>
      <c r="AF453" t="s">
        <v>3974</v>
      </c>
      <c r="AG453" t="s">
        <v>77</v>
      </c>
    </row>
    <row r="454" spans="1:33" x14ac:dyDescent="0.25">
      <c r="A454" t="str">
        <f>"1053378109"</f>
        <v>1053378109</v>
      </c>
      <c r="B454" t="str">
        <f>"01021452"</f>
        <v>01021452</v>
      </c>
      <c r="C454" t="s">
        <v>5613</v>
      </c>
      <c r="D454" t="s">
        <v>3170</v>
      </c>
      <c r="E454" t="s">
        <v>3171</v>
      </c>
      <c r="G454" t="s">
        <v>5614</v>
      </c>
      <c r="H454" t="s">
        <v>3172</v>
      </c>
      <c r="J454" t="s">
        <v>5615</v>
      </c>
      <c r="L454" t="s">
        <v>79</v>
      </c>
      <c r="M454" t="s">
        <v>72</v>
      </c>
      <c r="R454" t="s">
        <v>3173</v>
      </c>
      <c r="W454" t="s">
        <v>3171</v>
      </c>
      <c r="X454" t="s">
        <v>3137</v>
      </c>
      <c r="Y454" t="s">
        <v>221</v>
      </c>
      <c r="Z454" t="s">
        <v>73</v>
      </c>
      <c r="AA454" t="str">
        <f>"14221-5799"</f>
        <v>14221-5799</v>
      </c>
      <c r="AB454" t="s">
        <v>74</v>
      </c>
      <c r="AC454" t="s">
        <v>75</v>
      </c>
      <c r="AD454" t="s">
        <v>72</v>
      </c>
      <c r="AE454" t="s">
        <v>76</v>
      </c>
      <c r="AG454" t="s">
        <v>77</v>
      </c>
    </row>
    <row r="455" spans="1:33" x14ac:dyDescent="0.25">
      <c r="A455" t="str">
        <f>"1457332827"</f>
        <v>1457332827</v>
      </c>
      <c r="B455" t="str">
        <f>"00644564"</f>
        <v>00644564</v>
      </c>
      <c r="C455" t="s">
        <v>5616</v>
      </c>
      <c r="D455" t="s">
        <v>5617</v>
      </c>
      <c r="E455" t="s">
        <v>5618</v>
      </c>
      <c r="G455" t="s">
        <v>4883</v>
      </c>
      <c r="H455" t="s">
        <v>5619</v>
      </c>
      <c r="J455" t="s">
        <v>5620</v>
      </c>
      <c r="L455" t="s">
        <v>71</v>
      </c>
      <c r="M455" t="s">
        <v>72</v>
      </c>
      <c r="R455" t="s">
        <v>5621</v>
      </c>
      <c r="W455" t="s">
        <v>5622</v>
      </c>
      <c r="X455" t="s">
        <v>946</v>
      </c>
      <c r="Y455" t="s">
        <v>188</v>
      </c>
      <c r="Z455" t="s">
        <v>73</v>
      </c>
      <c r="AA455" t="str">
        <f>"14092-2149"</f>
        <v>14092-2149</v>
      </c>
      <c r="AB455" t="s">
        <v>74</v>
      </c>
      <c r="AC455" t="s">
        <v>75</v>
      </c>
      <c r="AD455" t="s">
        <v>72</v>
      </c>
      <c r="AE455" t="s">
        <v>76</v>
      </c>
      <c r="AF455" t="s">
        <v>3974</v>
      </c>
      <c r="AG455" t="s">
        <v>77</v>
      </c>
    </row>
    <row r="456" spans="1:33" x14ac:dyDescent="0.25">
      <c r="A456" t="str">
        <f>"1134112691"</f>
        <v>1134112691</v>
      </c>
      <c r="B456" t="str">
        <f>"01991262"</f>
        <v>01991262</v>
      </c>
      <c r="C456" t="s">
        <v>5623</v>
      </c>
      <c r="D456" t="s">
        <v>2888</v>
      </c>
      <c r="E456" t="s">
        <v>2889</v>
      </c>
      <c r="G456" t="s">
        <v>5624</v>
      </c>
      <c r="H456" t="s">
        <v>841</v>
      </c>
      <c r="J456" t="s">
        <v>5625</v>
      </c>
      <c r="L456" t="s">
        <v>84</v>
      </c>
      <c r="M456" t="s">
        <v>81</v>
      </c>
      <c r="R456" t="s">
        <v>2890</v>
      </c>
      <c r="W456" t="s">
        <v>2889</v>
      </c>
      <c r="X456" t="s">
        <v>2891</v>
      </c>
      <c r="Y456" t="s">
        <v>221</v>
      </c>
      <c r="Z456" t="s">
        <v>73</v>
      </c>
      <c r="AA456" t="str">
        <f>"14221-2320"</f>
        <v>14221-2320</v>
      </c>
      <c r="AB456" t="s">
        <v>74</v>
      </c>
      <c r="AC456" t="s">
        <v>75</v>
      </c>
      <c r="AD456" t="s">
        <v>72</v>
      </c>
      <c r="AE456" t="s">
        <v>76</v>
      </c>
      <c r="AG456" t="s">
        <v>77</v>
      </c>
    </row>
    <row r="457" spans="1:33" x14ac:dyDescent="0.25">
      <c r="A457" t="str">
        <f>"1144299827"</f>
        <v>1144299827</v>
      </c>
      <c r="B457" t="str">
        <f>"01467761"</f>
        <v>01467761</v>
      </c>
      <c r="C457" t="s">
        <v>5626</v>
      </c>
      <c r="D457" t="s">
        <v>5627</v>
      </c>
      <c r="E457" t="s">
        <v>5628</v>
      </c>
      <c r="G457" t="s">
        <v>4797</v>
      </c>
      <c r="H457" t="s">
        <v>4798</v>
      </c>
      <c r="I457">
        <v>104</v>
      </c>
      <c r="J457" t="s">
        <v>4799</v>
      </c>
      <c r="L457" t="s">
        <v>79</v>
      </c>
      <c r="M457" t="s">
        <v>72</v>
      </c>
      <c r="R457" t="s">
        <v>5629</v>
      </c>
      <c r="W457" t="s">
        <v>5628</v>
      </c>
      <c r="X457" t="s">
        <v>3610</v>
      </c>
      <c r="Y457" t="s">
        <v>408</v>
      </c>
      <c r="Z457" t="s">
        <v>73</v>
      </c>
      <c r="AA457" t="str">
        <f>"14757-1120"</f>
        <v>14757-1120</v>
      </c>
      <c r="AB457" t="s">
        <v>74</v>
      </c>
      <c r="AC457" t="s">
        <v>75</v>
      </c>
      <c r="AD457" t="s">
        <v>72</v>
      </c>
      <c r="AE457" t="s">
        <v>76</v>
      </c>
      <c r="AF457" t="s">
        <v>4049</v>
      </c>
      <c r="AG457" t="s">
        <v>77</v>
      </c>
    </row>
    <row r="458" spans="1:33" x14ac:dyDescent="0.25">
      <c r="C458" t="s">
        <v>5630</v>
      </c>
      <c r="G458" t="s">
        <v>5631</v>
      </c>
      <c r="H458" t="s">
        <v>3551</v>
      </c>
      <c r="J458" t="s">
        <v>5632</v>
      </c>
      <c r="K458" t="s">
        <v>89</v>
      </c>
      <c r="L458" t="s">
        <v>90</v>
      </c>
      <c r="M458" t="s">
        <v>72</v>
      </c>
      <c r="N458" t="s">
        <v>5633</v>
      </c>
      <c r="O458" t="s">
        <v>1475</v>
      </c>
      <c r="P458" t="s">
        <v>73</v>
      </c>
      <c r="Q458" t="str">
        <f>"14701"</f>
        <v>14701</v>
      </c>
      <c r="AC458" t="s">
        <v>75</v>
      </c>
      <c r="AD458" t="s">
        <v>72</v>
      </c>
      <c r="AE458" t="s">
        <v>91</v>
      </c>
      <c r="AF458" t="s">
        <v>4059</v>
      </c>
      <c r="AG458" t="s">
        <v>77</v>
      </c>
    </row>
    <row r="459" spans="1:33" x14ac:dyDescent="0.25">
      <c r="C459" t="s">
        <v>5634</v>
      </c>
      <c r="G459" t="s">
        <v>5635</v>
      </c>
      <c r="H459" t="s">
        <v>3590</v>
      </c>
      <c r="J459" t="s">
        <v>3591</v>
      </c>
      <c r="K459" t="s">
        <v>89</v>
      </c>
      <c r="L459" t="s">
        <v>90</v>
      </c>
      <c r="M459" t="s">
        <v>72</v>
      </c>
      <c r="N459" t="s">
        <v>5636</v>
      </c>
      <c r="O459" t="s">
        <v>1475</v>
      </c>
      <c r="P459" t="s">
        <v>73</v>
      </c>
      <c r="Q459" t="str">
        <f>"14701"</f>
        <v>14701</v>
      </c>
      <c r="AC459" t="s">
        <v>75</v>
      </c>
      <c r="AD459" t="s">
        <v>72</v>
      </c>
      <c r="AE459" t="s">
        <v>91</v>
      </c>
      <c r="AG459" t="s">
        <v>77</v>
      </c>
    </row>
    <row r="460" spans="1:33" x14ac:dyDescent="0.25">
      <c r="B460" t="str">
        <f>"01997144"</f>
        <v>01997144</v>
      </c>
      <c r="C460" t="s">
        <v>5637</v>
      </c>
      <c r="D460" t="s">
        <v>846</v>
      </c>
      <c r="E460" t="s">
        <v>847</v>
      </c>
      <c r="F460">
        <v>166002556</v>
      </c>
      <c r="G460" t="s">
        <v>5638</v>
      </c>
      <c r="H460" t="s">
        <v>848</v>
      </c>
      <c r="J460" t="s">
        <v>5639</v>
      </c>
      <c r="L460" t="s">
        <v>33</v>
      </c>
      <c r="M460" t="s">
        <v>72</v>
      </c>
      <c r="W460" t="s">
        <v>847</v>
      </c>
      <c r="X460" t="s">
        <v>849</v>
      </c>
      <c r="Y460" t="s">
        <v>408</v>
      </c>
      <c r="Z460" t="s">
        <v>73</v>
      </c>
      <c r="AA460" t="str">
        <f>"14757"</f>
        <v>14757</v>
      </c>
      <c r="AB460" t="s">
        <v>88</v>
      </c>
      <c r="AC460" t="s">
        <v>75</v>
      </c>
      <c r="AD460" t="s">
        <v>72</v>
      </c>
      <c r="AE460" t="s">
        <v>76</v>
      </c>
      <c r="AF460" t="s">
        <v>4078</v>
      </c>
      <c r="AG460" t="s">
        <v>77</v>
      </c>
    </row>
    <row r="461" spans="1:33" x14ac:dyDescent="0.25">
      <c r="C461" t="s">
        <v>5640</v>
      </c>
      <c r="G461" t="s">
        <v>5635</v>
      </c>
      <c r="H461" t="s">
        <v>3590</v>
      </c>
      <c r="J461" t="s">
        <v>3591</v>
      </c>
      <c r="K461" t="s">
        <v>89</v>
      </c>
      <c r="L461" t="s">
        <v>90</v>
      </c>
      <c r="M461" t="s">
        <v>72</v>
      </c>
      <c r="N461" t="s">
        <v>5641</v>
      </c>
      <c r="O461" t="s">
        <v>1475</v>
      </c>
      <c r="P461" t="s">
        <v>73</v>
      </c>
      <c r="Q461" t="str">
        <f>"14701"</f>
        <v>14701</v>
      </c>
      <c r="AC461" t="s">
        <v>75</v>
      </c>
      <c r="AD461" t="s">
        <v>72</v>
      </c>
      <c r="AE461" t="s">
        <v>91</v>
      </c>
      <c r="AG461" t="s">
        <v>77</v>
      </c>
    </row>
    <row r="462" spans="1:33" x14ac:dyDescent="0.25">
      <c r="C462" t="s">
        <v>5642</v>
      </c>
      <c r="G462" t="s">
        <v>5635</v>
      </c>
      <c r="H462" t="s">
        <v>3590</v>
      </c>
      <c r="J462" t="s">
        <v>3591</v>
      </c>
      <c r="K462" t="s">
        <v>89</v>
      </c>
      <c r="L462" t="s">
        <v>90</v>
      </c>
      <c r="M462" t="s">
        <v>72</v>
      </c>
      <c r="N462" t="s">
        <v>5641</v>
      </c>
      <c r="O462" t="s">
        <v>1475</v>
      </c>
      <c r="P462" t="s">
        <v>73</v>
      </c>
      <c r="Q462" t="str">
        <f>"14701"</f>
        <v>14701</v>
      </c>
      <c r="AC462" t="s">
        <v>75</v>
      </c>
      <c r="AD462" t="s">
        <v>72</v>
      </c>
      <c r="AE462" t="s">
        <v>91</v>
      </c>
      <c r="AF462" t="s">
        <v>4059</v>
      </c>
      <c r="AG462" t="s">
        <v>77</v>
      </c>
    </row>
    <row r="463" spans="1:33" x14ac:dyDescent="0.25">
      <c r="C463" t="s">
        <v>5643</v>
      </c>
      <c r="G463" t="s">
        <v>5635</v>
      </c>
      <c r="H463" t="s">
        <v>3590</v>
      </c>
      <c r="J463" t="s">
        <v>3591</v>
      </c>
      <c r="K463" t="s">
        <v>89</v>
      </c>
      <c r="L463" t="s">
        <v>90</v>
      </c>
      <c r="M463" t="s">
        <v>72</v>
      </c>
      <c r="N463" t="s">
        <v>5644</v>
      </c>
      <c r="O463" t="s">
        <v>1475</v>
      </c>
      <c r="P463" t="s">
        <v>73</v>
      </c>
      <c r="Q463" t="str">
        <f>"14701"</f>
        <v>14701</v>
      </c>
      <c r="AC463" t="s">
        <v>75</v>
      </c>
      <c r="AD463" t="s">
        <v>72</v>
      </c>
      <c r="AE463" t="s">
        <v>91</v>
      </c>
      <c r="AG463" t="s">
        <v>77</v>
      </c>
    </row>
    <row r="464" spans="1:33" x14ac:dyDescent="0.25">
      <c r="A464" t="str">
        <f>"1013974245"</f>
        <v>1013974245</v>
      </c>
      <c r="B464" t="str">
        <f>"01592869"</f>
        <v>01592869</v>
      </c>
      <c r="C464" t="s">
        <v>5645</v>
      </c>
      <c r="D464" t="s">
        <v>2001</v>
      </c>
      <c r="E464" t="s">
        <v>2002</v>
      </c>
      <c r="G464" t="s">
        <v>5645</v>
      </c>
      <c r="H464" t="s">
        <v>1131</v>
      </c>
      <c r="J464" t="s">
        <v>5646</v>
      </c>
      <c r="L464" t="s">
        <v>79</v>
      </c>
      <c r="M464" t="s">
        <v>72</v>
      </c>
      <c r="R464" t="s">
        <v>2003</v>
      </c>
      <c r="W464" t="s">
        <v>2002</v>
      </c>
      <c r="X464" t="s">
        <v>353</v>
      </c>
      <c r="Y464" t="s">
        <v>111</v>
      </c>
      <c r="Z464" t="s">
        <v>73</v>
      </c>
      <c r="AA464" t="str">
        <f>"14642-0002"</f>
        <v>14642-0002</v>
      </c>
      <c r="AB464" t="s">
        <v>74</v>
      </c>
      <c r="AC464" t="s">
        <v>75</v>
      </c>
      <c r="AD464" t="s">
        <v>72</v>
      </c>
      <c r="AE464" t="s">
        <v>76</v>
      </c>
      <c r="AG464" t="s">
        <v>77</v>
      </c>
    </row>
    <row r="465" spans="1:33" x14ac:dyDescent="0.25">
      <c r="A465" t="str">
        <f>"1306157326"</f>
        <v>1306157326</v>
      </c>
      <c r="B465" t="str">
        <f>"03462920"</f>
        <v>03462920</v>
      </c>
      <c r="C465" t="s">
        <v>5647</v>
      </c>
      <c r="D465" t="s">
        <v>5648</v>
      </c>
      <c r="E465" t="s">
        <v>5649</v>
      </c>
      <c r="G465" t="s">
        <v>5351</v>
      </c>
      <c r="H465" t="s">
        <v>5352</v>
      </c>
      <c r="J465" t="s">
        <v>5353</v>
      </c>
      <c r="L465" t="s">
        <v>79</v>
      </c>
      <c r="M465" t="s">
        <v>72</v>
      </c>
      <c r="R465" t="s">
        <v>5650</v>
      </c>
      <c r="W465" t="s">
        <v>5649</v>
      </c>
      <c r="X465" t="s">
        <v>4801</v>
      </c>
      <c r="Y465" t="s">
        <v>242</v>
      </c>
      <c r="Z465" t="s">
        <v>73</v>
      </c>
      <c r="AA465" t="str">
        <f>"14701-7087"</f>
        <v>14701-7087</v>
      </c>
      <c r="AB465" t="s">
        <v>74</v>
      </c>
      <c r="AC465" t="s">
        <v>75</v>
      </c>
      <c r="AD465" t="s">
        <v>72</v>
      </c>
      <c r="AE465" t="s">
        <v>76</v>
      </c>
      <c r="AF465" t="s">
        <v>4049</v>
      </c>
      <c r="AG465" t="s">
        <v>77</v>
      </c>
    </row>
    <row r="466" spans="1:33" x14ac:dyDescent="0.25">
      <c r="A466" t="str">
        <f>"1942443015"</f>
        <v>1942443015</v>
      </c>
      <c r="B466" t="str">
        <f>"03611516"</f>
        <v>03611516</v>
      </c>
      <c r="C466" t="s">
        <v>5651</v>
      </c>
      <c r="D466" t="s">
        <v>5652</v>
      </c>
      <c r="E466" t="s">
        <v>5653</v>
      </c>
      <c r="G466" t="s">
        <v>4883</v>
      </c>
      <c r="H466" t="s">
        <v>3216</v>
      </c>
      <c r="J466" t="s">
        <v>4884</v>
      </c>
      <c r="L466" t="s">
        <v>79</v>
      </c>
      <c r="M466" t="s">
        <v>72</v>
      </c>
      <c r="R466" t="s">
        <v>5654</v>
      </c>
      <c r="W466" t="s">
        <v>5653</v>
      </c>
      <c r="X466" t="s">
        <v>187</v>
      </c>
      <c r="Y466" t="s">
        <v>188</v>
      </c>
      <c r="Z466" t="s">
        <v>73</v>
      </c>
      <c r="AA466" t="str">
        <f>"14092-1903"</f>
        <v>14092-1903</v>
      </c>
      <c r="AB466" t="s">
        <v>74</v>
      </c>
      <c r="AC466" t="s">
        <v>75</v>
      </c>
      <c r="AD466" t="s">
        <v>72</v>
      </c>
      <c r="AE466" t="s">
        <v>76</v>
      </c>
      <c r="AF466" t="s">
        <v>3974</v>
      </c>
      <c r="AG466" t="s">
        <v>77</v>
      </c>
    </row>
    <row r="467" spans="1:33" x14ac:dyDescent="0.25">
      <c r="A467" t="str">
        <f>"1669493334"</f>
        <v>1669493334</v>
      </c>
      <c r="B467" t="str">
        <f>"01295032"</f>
        <v>01295032</v>
      </c>
      <c r="C467" t="s">
        <v>5655</v>
      </c>
      <c r="D467" t="s">
        <v>5656</v>
      </c>
      <c r="E467" t="s">
        <v>5657</v>
      </c>
      <c r="G467" t="s">
        <v>5658</v>
      </c>
      <c r="H467" t="s">
        <v>5659</v>
      </c>
      <c r="J467" t="s">
        <v>5511</v>
      </c>
      <c r="L467" t="s">
        <v>80</v>
      </c>
      <c r="M467" t="s">
        <v>72</v>
      </c>
      <c r="R467" t="s">
        <v>5660</v>
      </c>
      <c r="W467" t="s">
        <v>5657</v>
      </c>
      <c r="X467" t="s">
        <v>173</v>
      </c>
      <c r="Y467" t="s">
        <v>117</v>
      </c>
      <c r="Z467" t="s">
        <v>73</v>
      </c>
      <c r="AA467" t="str">
        <f>"14222-2006"</f>
        <v>14222-2006</v>
      </c>
      <c r="AB467" t="s">
        <v>74</v>
      </c>
      <c r="AC467" t="s">
        <v>75</v>
      </c>
      <c r="AD467" t="s">
        <v>72</v>
      </c>
      <c r="AE467" t="s">
        <v>76</v>
      </c>
      <c r="AF467" t="s">
        <v>3974</v>
      </c>
      <c r="AG467" t="s">
        <v>77</v>
      </c>
    </row>
    <row r="468" spans="1:33" x14ac:dyDescent="0.25">
      <c r="A468" t="str">
        <f>"1205893591"</f>
        <v>1205893591</v>
      </c>
      <c r="B468" t="str">
        <f>"02173233"</f>
        <v>02173233</v>
      </c>
      <c r="C468" t="s">
        <v>5661</v>
      </c>
      <c r="D468" t="s">
        <v>3181</v>
      </c>
      <c r="E468" t="s">
        <v>3182</v>
      </c>
      <c r="G468" t="s">
        <v>5661</v>
      </c>
      <c r="H468" t="s">
        <v>1987</v>
      </c>
      <c r="J468" t="s">
        <v>5662</v>
      </c>
      <c r="L468" t="s">
        <v>80</v>
      </c>
      <c r="M468" t="s">
        <v>72</v>
      </c>
      <c r="R468" t="s">
        <v>3183</v>
      </c>
      <c r="W468" t="s">
        <v>3182</v>
      </c>
      <c r="X468" t="s">
        <v>2409</v>
      </c>
      <c r="Y468" t="s">
        <v>1093</v>
      </c>
      <c r="Z468" t="s">
        <v>73</v>
      </c>
      <c r="AA468" t="str">
        <f>"14052-1637"</f>
        <v>14052-1637</v>
      </c>
      <c r="AB468" t="s">
        <v>74</v>
      </c>
      <c r="AC468" t="s">
        <v>75</v>
      </c>
      <c r="AD468" t="s">
        <v>72</v>
      </c>
      <c r="AE468" t="s">
        <v>76</v>
      </c>
      <c r="AF468" t="s">
        <v>4431</v>
      </c>
      <c r="AG468" t="s">
        <v>77</v>
      </c>
    </row>
    <row r="469" spans="1:33" x14ac:dyDescent="0.25">
      <c r="A469" t="str">
        <f>"1689646259"</f>
        <v>1689646259</v>
      </c>
      <c r="B469" t="str">
        <f>"00589579"</f>
        <v>00589579</v>
      </c>
      <c r="C469" t="s">
        <v>5663</v>
      </c>
      <c r="D469" t="s">
        <v>5664</v>
      </c>
      <c r="E469" t="s">
        <v>5665</v>
      </c>
      <c r="G469" t="s">
        <v>4883</v>
      </c>
      <c r="H469" t="s">
        <v>3216</v>
      </c>
      <c r="J469" t="s">
        <v>4884</v>
      </c>
      <c r="L469" t="s">
        <v>71</v>
      </c>
      <c r="M469" t="s">
        <v>72</v>
      </c>
      <c r="R469" t="s">
        <v>5666</v>
      </c>
      <c r="W469" t="s">
        <v>5665</v>
      </c>
      <c r="Y469" t="s">
        <v>188</v>
      </c>
      <c r="Z469" t="s">
        <v>73</v>
      </c>
      <c r="AA469" t="str">
        <f>"14092-1997"</f>
        <v>14092-1997</v>
      </c>
      <c r="AB469" t="s">
        <v>74</v>
      </c>
      <c r="AC469" t="s">
        <v>75</v>
      </c>
      <c r="AD469" t="s">
        <v>72</v>
      </c>
      <c r="AE469" t="s">
        <v>76</v>
      </c>
      <c r="AF469" t="s">
        <v>3974</v>
      </c>
      <c r="AG469" t="s">
        <v>77</v>
      </c>
    </row>
    <row r="470" spans="1:33" x14ac:dyDescent="0.25">
      <c r="A470" t="str">
        <f>"1023202355"</f>
        <v>1023202355</v>
      </c>
      <c r="B470" t="str">
        <f>"03116167"</f>
        <v>03116167</v>
      </c>
      <c r="C470" t="s">
        <v>5667</v>
      </c>
      <c r="D470" t="s">
        <v>5668</v>
      </c>
      <c r="E470" t="s">
        <v>5669</v>
      </c>
      <c r="G470" t="s">
        <v>5670</v>
      </c>
      <c r="H470" t="s">
        <v>5671</v>
      </c>
      <c r="J470" t="s">
        <v>5672</v>
      </c>
      <c r="L470" t="s">
        <v>79</v>
      </c>
      <c r="M470" t="s">
        <v>72</v>
      </c>
      <c r="R470" t="s">
        <v>5673</v>
      </c>
      <c r="W470" t="s">
        <v>5674</v>
      </c>
      <c r="X470" t="s">
        <v>374</v>
      </c>
      <c r="Y470" t="s">
        <v>221</v>
      </c>
      <c r="Z470" t="s">
        <v>73</v>
      </c>
      <c r="AA470" t="str">
        <f>"14221-5760"</f>
        <v>14221-5760</v>
      </c>
      <c r="AB470" t="s">
        <v>74</v>
      </c>
      <c r="AC470" t="s">
        <v>75</v>
      </c>
      <c r="AD470" t="s">
        <v>72</v>
      </c>
      <c r="AE470" t="s">
        <v>76</v>
      </c>
      <c r="AF470" t="s">
        <v>3974</v>
      </c>
      <c r="AG470" t="s">
        <v>77</v>
      </c>
    </row>
    <row r="471" spans="1:33" x14ac:dyDescent="0.25">
      <c r="A471" t="str">
        <f>"1659307528"</f>
        <v>1659307528</v>
      </c>
      <c r="B471" t="str">
        <f>"01456082"</f>
        <v>01456082</v>
      </c>
      <c r="C471" t="s">
        <v>5675</v>
      </c>
      <c r="D471" t="s">
        <v>1551</v>
      </c>
      <c r="E471" t="s">
        <v>1552</v>
      </c>
      <c r="G471" t="s">
        <v>3988</v>
      </c>
      <c r="H471" t="s">
        <v>1302</v>
      </c>
      <c r="J471" t="s">
        <v>3989</v>
      </c>
      <c r="L471" t="s">
        <v>71</v>
      </c>
      <c r="M471" t="s">
        <v>72</v>
      </c>
      <c r="R471" t="s">
        <v>1553</v>
      </c>
      <c r="W471" t="s">
        <v>1552</v>
      </c>
      <c r="X471" t="s">
        <v>1194</v>
      </c>
      <c r="Y471" t="s">
        <v>237</v>
      </c>
      <c r="Z471" t="s">
        <v>73</v>
      </c>
      <c r="AA471" t="str">
        <f>"14224-2646"</f>
        <v>14224-2646</v>
      </c>
      <c r="AB471" t="s">
        <v>74</v>
      </c>
      <c r="AC471" t="s">
        <v>75</v>
      </c>
      <c r="AD471" t="s">
        <v>72</v>
      </c>
      <c r="AE471" t="s">
        <v>76</v>
      </c>
      <c r="AF471" t="s">
        <v>3974</v>
      </c>
      <c r="AG471" t="s">
        <v>77</v>
      </c>
    </row>
    <row r="472" spans="1:33" x14ac:dyDescent="0.25">
      <c r="A472" t="str">
        <f>"1043480585"</f>
        <v>1043480585</v>
      </c>
      <c r="B472" t="str">
        <f>"02950883"</f>
        <v>02950883</v>
      </c>
      <c r="C472" t="s">
        <v>5676</v>
      </c>
      <c r="D472" t="s">
        <v>2006</v>
      </c>
      <c r="E472" t="s">
        <v>2005</v>
      </c>
      <c r="G472" t="s">
        <v>5677</v>
      </c>
      <c r="H472" t="s">
        <v>5678</v>
      </c>
      <c r="J472" t="s">
        <v>5679</v>
      </c>
      <c r="L472" t="s">
        <v>10</v>
      </c>
      <c r="M472" t="s">
        <v>72</v>
      </c>
      <c r="R472" t="s">
        <v>2005</v>
      </c>
      <c r="W472" t="s">
        <v>2005</v>
      </c>
      <c r="X472" t="s">
        <v>2007</v>
      </c>
      <c r="Y472" t="s">
        <v>117</v>
      </c>
      <c r="Z472" t="s">
        <v>73</v>
      </c>
      <c r="AA472" t="str">
        <f>"14213-1207"</f>
        <v>14213-1207</v>
      </c>
      <c r="AB472" t="s">
        <v>88</v>
      </c>
      <c r="AC472" t="s">
        <v>75</v>
      </c>
      <c r="AD472" t="s">
        <v>72</v>
      </c>
      <c r="AE472" t="s">
        <v>76</v>
      </c>
      <c r="AF472" t="s">
        <v>4879</v>
      </c>
      <c r="AG472" t="s">
        <v>77</v>
      </c>
    </row>
    <row r="473" spans="1:33" x14ac:dyDescent="0.25">
      <c r="A473" t="str">
        <f>"1780876524"</f>
        <v>1780876524</v>
      </c>
      <c r="B473" t="str">
        <f>"02891087"</f>
        <v>02891087</v>
      </c>
      <c r="C473" t="s">
        <v>5676</v>
      </c>
      <c r="D473" t="s">
        <v>5680</v>
      </c>
      <c r="E473" t="s">
        <v>5681</v>
      </c>
      <c r="G473" t="s">
        <v>5677</v>
      </c>
      <c r="H473" t="s">
        <v>5678</v>
      </c>
      <c r="J473" t="s">
        <v>5679</v>
      </c>
      <c r="L473" t="s">
        <v>92</v>
      </c>
      <c r="M473" t="s">
        <v>72</v>
      </c>
      <c r="R473" t="s">
        <v>5682</v>
      </c>
      <c r="W473" t="s">
        <v>5683</v>
      </c>
      <c r="X473" t="s">
        <v>1198</v>
      </c>
      <c r="Y473" t="s">
        <v>117</v>
      </c>
      <c r="Z473" t="s">
        <v>73</v>
      </c>
      <c r="AA473" t="str">
        <f>"14213-1207"</f>
        <v>14213-1207</v>
      </c>
      <c r="AB473" t="s">
        <v>86</v>
      </c>
      <c r="AC473" t="s">
        <v>75</v>
      </c>
      <c r="AD473" t="s">
        <v>72</v>
      </c>
      <c r="AE473" t="s">
        <v>76</v>
      </c>
      <c r="AF473" t="s">
        <v>4879</v>
      </c>
      <c r="AG473" t="s">
        <v>77</v>
      </c>
    </row>
    <row r="474" spans="1:33" x14ac:dyDescent="0.25">
      <c r="A474" t="str">
        <f>"1609933142"</f>
        <v>1609933142</v>
      </c>
      <c r="B474" t="str">
        <f>"01137237"</f>
        <v>01137237</v>
      </c>
      <c r="C474" t="s">
        <v>5676</v>
      </c>
      <c r="D474" t="s">
        <v>3937</v>
      </c>
      <c r="E474" t="s">
        <v>3938</v>
      </c>
      <c r="G474" t="s">
        <v>5677</v>
      </c>
      <c r="H474" t="s">
        <v>5678</v>
      </c>
      <c r="J474" t="s">
        <v>5679</v>
      </c>
      <c r="L474" t="s">
        <v>33</v>
      </c>
      <c r="M474" t="s">
        <v>81</v>
      </c>
      <c r="R474" t="s">
        <v>3939</v>
      </c>
      <c r="W474" t="s">
        <v>3938</v>
      </c>
      <c r="X474" t="s">
        <v>3930</v>
      </c>
      <c r="Y474" t="s">
        <v>85</v>
      </c>
      <c r="Z474" t="s">
        <v>73</v>
      </c>
      <c r="AA474" t="str">
        <f>"12229-0001"</f>
        <v>12229-0001</v>
      </c>
      <c r="AB474" t="s">
        <v>88</v>
      </c>
      <c r="AC474" t="s">
        <v>75</v>
      </c>
      <c r="AD474" t="s">
        <v>72</v>
      </c>
      <c r="AE474" t="s">
        <v>76</v>
      </c>
      <c r="AF474" t="s">
        <v>4879</v>
      </c>
      <c r="AG474" t="s">
        <v>77</v>
      </c>
    </row>
    <row r="475" spans="1:33" x14ac:dyDescent="0.25">
      <c r="C475" t="s">
        <v>5684</v>
      </c>
      <c r="G475" t="s">
        <v>5685</v>
      </c>
      <c r="H475" t="s">
        <v>3815</v>
      </c>
      <c r="K475" t="s">
        <v>89</v>
      </c>
      <c r="L475" t="s">
        <v>90</v>
      </c>
      <c r="M475" t="s">
        <v>72</v>
      </c>
      <c r="N475" t="s">
        <v>5686</v>
      </c>
      <c r="O475" t="s">
        <v>1101</v>
      </c>
      <c r="P475" t="s">
        <v>73</v>
      </c>
      <c r="Q475" t="str">
        <f>"14203"</f>
        <v>14203</v>
      </c>
      <c r="AC475" t="s">
        <v>75</v>
      </c>
      <c r="AD475" t="s">
        <v>72</v>
      </c>
      <c r="AE475" t="s">
        <v>91</v>
      </c>
      <c r="AF475" t="s">
        <v>4059</v>
      </c>
      <c r="AG475" t="s">
        <v>77</v>
      </c>
    </row>
    <row r="476" spans="1:33" x14ac:dyDescent="0.25">
      <c r="A476" t="str">
        <f>"1205803509"</f>
        <v>1205803509</v>
      </c>
      <c r="B476" t="str">
        <f>"02315800"</f>
        <v>02315800</v>
      </c>
      <c r="C476" t="s">
        <v>5687</v>
      </c>
      <c r="D476" t="s">
        <v>2221</v>
      </c>
      <c r="E476" t="s">
        <v>2222</v>
      </c>
      <c r="G476" t="s">
        <v>5624</v>
      </c>
      <c r="H476" t="s">
        <v>841</v>
      </c>
      <c r="J476" t="s">
        <v>5625</v>
      </c>
      <c r="L476" t="s">
        <v>84</v>
      </c>
      <c r="M476" t="s">
        <v>81</v>
      </c>
      <c r="R476" t="s">
        <v>2223</v>
      </c>
      <c r="W476" t="s">
        <v>2224</v>
      </c>
      <c r="X476" t="s">
        <v>169</v>
      </c>
      <c r="Y476" t="s">
        <v>117</v>
      </c>
      <c r="Z476" t="s">
        <v>73</v>
      </c>
      <c r="AA476" t="str">
        <f>"14209-1120"</f>
        <v>14209-1120</v>
      </c>
      <c r="AB476" t="s">
        <v>74</v>
      </c>
      <c r="AC476" t="s">
        <v>75</v>
      </c>
      <c r="AD476" t="s">
        <v>72</v>
      </c>
      <c r="AE476" t="s">
        <v>76</v>
      </c>
      <c r="AF476" t="s">
        <v>3961</v>
      </c>
      <c r="AG476" t="s">
        <v>77</v>
      </c>
    </row>
    <row r="477" spans="1:33" x14ac:dyDescent="0.25">
      <c r="A477" t="str">
        <f>"1174789242"</f>
        <v>1174789242</v>
      </c>
      <c r="B477" t="str">
        <f>"03305653"</f>
        <v>03305653</v>
      </c>
      <c r="C477" t="s">
        <v>5688</v>
      </c>
      <c r="D477" t="s">
        <v>2379</v>
      </c>
      <c r="E477" t="s">
        <v>2380</v>
      </c>
      <c r="G477" t="s">
        <v>5689</v>
      </c>
      <c r="J477" t="s">
        <v>5690</v>
      </c>
      <c r="L477" t="s">
        <v>9</v>
      </c>
      <c r="M477" t="s">
        <v>72</v>
      </c>
      <c r="R477" t="s">
        <v>2378</v>
      </c>
      <c r="W477" t="s">
        <v>2380</v>
      </c>
      <c r="X477" t="s">
        <v>838</v>
      </c>
      <c r="Y477" t="s">
        <v>217</v>
      </c>
      <c r="Z477" t="s">
        <v>73</v>
      </c>
      <c r="AA477" t="str">
        <f>"14760-1100"</f>
        <v>14760-1100</v>
      </c>
      <c r="AB477" t="s">
        <v>109</v>
      </c>
      <c r="AC477" t="s">
        <v>75</v>
      </c>
      <c r="AD477" t="s">
        <v>72</v>
      </c>
      <c r="AE477" t="s">
        <v>76</v>
      </c>
      <c r="AF477" t="s">
        <v>4059</v>
      </c>
      <c r="AG477" t="s">
        <v>77</v>
      </c>
    </row>
    <row r="478" spans="1:33" x14ac:dyDescent="0.25">
      <c r="A478" t="str">
        <f>"1659575884"</f>
        <v>1659575884</v>
      </c>
      <c r="C478" t="s">
        <v>5691</v>
      </c>
      <c r="G478" t="s">
        <v>5692</v>
      </c>
      <c r="H478" t="s">
        <v>1860</v>
      </c>
      <c r="J478" t="s">
        <v>5693</v>
      </c>
      <c r="K478" t="s">
        <v>89</v>
      </c>
      <c r="L478" t="s">
        <v>92</v>
      </c>
      <c r="M478" t="s">
        <v>72</v>
      </c>
      <c r="R478" t="s">
        <v>5694</v>
      </c>
      <c r="S478" t="s">
        <v>1862</v>
      </c>
      <c r="T478" t="s">
        <v>117</v>
      </c>
      <c r="U478" t="s">
        <v>73</v>
      </c>
      <c r="V478" t="str">
        <f>"142131503"</f>
        <v>142131503</v>
      </c>
      <c r="AC478" t="s">
        <v>75</v>
      </c>
      <c r="AD478" t="s">
        <v>72</v>
      </c>
      <c r="AE478" t="s">
        <v>93</v>
      </c>
      <c r="AG478" t="s">
        <v>77</v>
      </c>
    </row>
    <row r="479" spans="1:33" x14ac:dyDescent="0.25">
      <c r="A479" t="str">
        <f>"1366648339"</f>
        <v>1366648339</v>
      </c>
      <c r="C479" t="s">
        <v>5695</v>
      </c>
      <c r="G479" t="s">
        <v>5692</v>
      </c>
      <c r="H479" t="s">
        <v>1860</v>
      </c>
      <c r="J479" t="s">
        <v>5693</v>
      </c>
      <c r="K479" t="s">
        <v>89</v>
      </c>
      <c r="L479" t="s">
        <v>71</v>
      </c>
      <c r="M479" t="s">
        <v>72</v>
      </c>
      <c r="R479" t="s">
        <v>5696</v>
      </c>
      <c r="S479" t="s">
        <v>1862</v>
      </c>
      <c r="T479" t="s">
        <v>117</v>
      </c>
      <c r="U479" t="s">
        <v>73</v>
      </c>
      <c r="V479" t="str">
        <f>"142131503"</f>
        <v>142131503</v>
      </c>
      <c r="AC479" t="s">
        <v>75</v>
      </c>
      <c r="AD479" t="s">
        <v>72</v>
      </c>
      <c r="AE479" t="s">
        <v>93</v>
      </c>
      <c r="AG479" t="s">
        <v>77</v>
      </c>
    </row>
    <row r="480" spans="1:33" x14ac:dyDescent="0.25">
      <c r="A480" t="str">
        <f>"1295931012"</f>
        <v>1295931012</v>
      </c>
      <c r="C480" t="s">
        <v>5697</v>
      </c>
      <c r="G480" t="s">
        <v>5692</v>
      </c>
      <c r="H480" t="s">
        <v>1860</v>
      </c>
      <c r="J480" t="s">
        <v>5693</v>
      </c>
      <c r="K480" t="s">
        <v>89</v>
      </c>
      <c r="L480" t="s">
        <v>71</v>
      </c>
      <c r="M480" t="s">
        <v>72</v>
      </c>
      <c r="R480" t="s">
        <v>5698</v>
      </c>
      <c r="S480" t="s">
        <v>1862</v>
      </c>
      <c r="T480" t="s">
        <v>117</v>
      </c>
      <c r="U480" t="s">
        <v>73</v>
      </c>
      <c r="V480" t="str">
        <f>"142131503"</f>
        <v>142131503</v>
      </c>
      <c r="AC480" t="s">
        <v>75</v>
      </c>
      <c r="AD480" t="s">
        <v>72</v>
      </c>
      <c r="AE480" t="s">
        <v>93</v>
      </c>
      <c r="AG480" t="s">
        <v>77</v>
      </c>
    </row>
    <row r="481" spans="1:33" x14ac:dyDescent="0.25">
      <c r="A481" t="str">
        <f>"1023328747"</f>
        <v>1023328747</v>
      </c>
      <c r="C481" t="s">
        <v>5699</v>
      </c>
      <c r="G481" t="s">
        <v>5692</v>
      </c>
      <c r="H481" t="s">
        <v>1860</v>
      </c>
      <c r="J481" t="s">
        <v>5693</v>
      </c>
      <c r="K481" t="s">
        <v>89</v>
      </c>
      <c r="L481" t="s">
        <v>71</v>
      </c>
      <c r="M481" t="s">
        <v>72</v>
      </c>
      <c r="R481" t="s">
        <v>5700</v>
      </c>
      <c r="S481" t="s">
        <v>5701</v>
      </c>
      <c r="T481" t="s">
        <v>117</v>
      </c>
      <c r="U481" t="s">
        <v>73</v>
      </c>
      <c r="V481" t="str">
        <f>"14213"</f>
        <v>14213</v>
      </c>
      <c r="AC481" t="s">
        <v>75</v>
      </c>
      <c r="AD481" t="s">
        <v>72</v>
      </c>
      <c r="AE481" t="s">
        <v>93</v>
      </c>
      <c r="AG481" t="s">
        <v>77</v>
      </c>
    </row>
    <row r="482" spans="1:33" x14ac:dyDescent="0.25">
      <c r="A482" t="str">
        <f>"1124420989"</f>
        <v>1124420989</v>
      </c>
      <c r="C482" t="s">
        <v>5702</v>
      </c>
      <c r="G482" t="s">
        <v>5692</v>
      </c>
      <c r="H482" t="s">
        <v>1860</v>
      </c>
      <c r="J482" t="s">
        <v>5693</v>
      </c>
      <c r="K482" t="s">
        <v>89</v>
      </c>
      <c r="L482" t="s">
        <v>92</v>
      </c>
      <c r="M482" t="s">
        <v>72</v>
      </c>
      <c r="R482" t="s">
        <v>5703</v>
      </c>
      <c r="S482" t="s">
        <v>1862</v>
      </c>
      <c r="T482" t="s">
        <v>117</v>
      </c>
      <c r="U482" t="s">
        <v>73</v>
      </c>
      <c r="V482" t="str">
        <f t="shared" ref="V482:V487" si="8">"142131503"</f>
        <v>142131503</v>
      </c>
      <c r="AC482" t="s">
        <v>75</v>
      </c>
      <c r="AD482" t="s">
        <v>72</v>
      </c>
      <c r="AE482" t="s">
        <v>93</v>
      </c>
      <c r="AG482" t="s">
        <v>77</v>
      </c>
    </row>
    <row r="483" spans="1:33" x14ac:dyDescent="0.25">
      <c r="A483" t="str">
        <f>"1366602799"</f>
        <v>1366602799</v>
      </c>
      <c r="C483" t="s">
        <v>5704</v>
      </c>
      <c r="G483" t="s">
        <v>5692</v>
      </c>
      <c r="H483" t="s">
        <v>1860</v>
      </c>
      <c r="J483" t="s">
        <v>5693</v>
      </c>
      <c r="K483" t="s">
        <v>89</v>
      </c>
      <c r="L483" t="s">
        <v>92</v>
      </c>
      <c r="M483" t="s">
        <v>72</v>
      </c>
      <c r="R483" t="s">
        <v>5705</v>
      </c>
      <c r="S483" t="s">
        <v>1862</v>
      </c>
      <c r="T483" t="s">
        <v>117</v>
      </c>
      <c r="U483" t="s">
        <v>73</v>
      </c>
      <c r="V483" t="str">
        <f t="shared" si="8"/>
        <v>142131503</v>
      </c>
      <c r="AC483" t="s">
        <v>75</v>
      </c>
      <c r="AD483" t="s">
        <v>72</v>
      </c>
      <c r="AE483" t="s">
        <v>93</v>
      </c>
      <c r="AG483" t="s">
        <v>77</v>
      </c>
    </row>
    <row r="484" spans="1:33" x14ac:dyDescent="0.25">
      <c r="A484" t="str">
        <f>"1083874408"</f>
        <v>1083874408</v>
      </c>
      <c r="C484" t="s">
        <v>5706</v>
      </c>
      <c r="G484" t="s">
        <v>5692</v>
      </c>
      <c r="H484" t="s">
        <v>1860</v>
      </c>
      <c r="J484" t="s">
        <v>5693</v>
      </c>
      <c r="K484" t="s">
        <v>89</v>
      </c>
      <c r="L484" t="s">
        <v>92</v>
      </c>
      <c r="M484" t="s">
        <v>72</v>
      </c>
      <c r="R484" t="s">
        <v>5707</v>
      </c>
      <c r="S484" t="s">
        <v>1862</v>
      </c>
      <c r="T484" t="s">
        <v>117</v>
      </c>
      <c r="U484" t="s">
        <v>73</v>
      </c>
      <c r="V484" t="str">
        <f t="shared" si="8"/>
        <v>142131503</v>
      </c>
      <c r="AC484" t="s">
        <v>75</v>
      </c>
      <c r="AD484" t="s">
        <v>72</v>
      </c>
      <c r="AE484" t="s">
        <v>93</v>
      </c>
      <c r="AG484" t="s">
        <v>77</v>
      </c>
    </row>
    <row r="485" spans="1:33" x14ac:dyDescent="0.25">
      <c r="A485" t="str">
        <f>"1497177067"</f>
        <v>1497177067</v>
      </c>
      <c r="C485" t="s">
        <v>5708</v>
      </c>
      <c r="G485" t="s">
        <v>5692</v>
      </c>
      <c r="H485" t="s">
        <v>1860</v>
      </c>
      <c r="J485" t="s">
        <v>5693</v>
      </c>
      <c r="K485" t="s">
        <v>89</v>
      </c>
      <c r="L485" t="s">
        <v>92</v>
      </c>
      <c r="M485" t="s">
        <v>72</v>
      </c>
      <c r="R485" t="s">
        <v>5709</v>
      </c>
      <c r="S485" t="s">
        <v>1862</v>
      </c>
      <c r="T485" t="s">
        <v>117</v>
      </c>
      <c r="U485" t="s">
        <v>73</v>
      </c>
      <c r="V485" t="str">
        <f t="shared" si="8"/>
        <v>142131503</v>
      </c>
      <c r="AC485" t="s">
        <v>75</v>
      </c>
      <c r="AD485" t="s">
        <v>72</v>
      </c>
      <c r="AE485" t="s">
        <v>93</v>
      </c>
      <c r="AG485" t="s">
        <v>77</v>
      </c>
    </row>
    <row r="486" spans="1:33" x14ac:dyDescent="0.25">
      <c r="A486" t="str">
        <f>"1912309774"</f>
        <v>1912309774</v>
      </c>
      <c r="C486" t="s">
        <v>5710</v>
      </c>
      <c r="G486" t="s">
        <v>5692</v>
      </c>
      <c r="H486" t="s">
        <v>1860</v>
      </c>
      <c r="J486" t="s">
        <v>5693</v>
      </c>
      <c r="K486" t="s">
        <v>89</v>
      </c>
      <c r="L486" t="s">
        <v>92</v>
      </c>
      <c r="M486" t="s">
        <v>72</v>
      </c>
      <c r="R486" t="s">
        <v>5711</v>
      </c>
      <c r="S486" t="s">
        <v>1862</v>
      </c>
      <c r="T486" t="s">
        <v>117</v>
      </c>
      <c r="U486" t="s">
        <v>73</v>
      </c>
      <c r="V486" t="str">
        <f t="shared" si="8"/>
        <v>142131503</v>
      </c>
      <c r="AC486" t="s">
        <v>75</v>
      </c>
      <c r="AD486" t="s">
        <v>72</v>
      </c>
      <c r="AE486" t="s">
        <v>93</v>
      </c>
      <c r="AG486" t="s">
        <v>77</v>
      </c>
    </row>
    <row r="487" spans="1:33" x14ac:dyDescent="0.25">
      <c r="A487" t="str">
        <f>"1356649651"</f>
        <v>1356649651</v>
      </c>
      <c r="C487" t="s">
        <v>5712</v>
      </c>
      <c r="G487" t="s">
        <v>5692</v>
      </c>
      <c r="H487" t="s">
        <v>1860</v>
      </c>
      <c r="J487" t="s">
        <v>5693</v>
      </c>
      <c r="K487" t="s">
        <v>89</v>
      </c>
      <c r="L487" t="s">
        <v>92</v>
      </c>
      <c r="M487" t="s">
        <v>72</v>
      </c>
      <c r="R487" t="s">
        <v>5713</v>
      </c>
      <c r="S487" t="s">
        <v>1862</v>
      </c>
      <c r="T487" t="s">
        <v>117</v>
      </c>
      <c r="U487" t="s">
        <v>73</v>
      </c>
      <c r="V487" t="str">
        <f t="shared" si="8"/>
        <v>142131503</v>
      </c>
      <c r="AC487" t="s">
        <v>75</v>
      </c>
      <c r="AD487" t="s">
        <v>72</v>
      </c>
      <c r="AE487" t="s">
        <v>93</v>
      </c>
      <c r="AG487" t="s">
        <v>77</v>
      </c>
    </row>
    <row r="488" spans="1:33" x14ac:dyDescent="0.25">
      <c r="C488" t="s">
        <v>3699</v>
      </c>
      <c r="G488" t="s">
        <v>3700</v>
      </c>
      <c r="H488" t="s">
        <v>3701</v>
      </c>
      <c r="I488">
        <v>101</v>
      </c>
      <c r="J488" t="s">
        <v>5714</v>
      </c>
      <c r="K488" t="s">
        <v>89</v>
      </c>
      <c r="L488" t="s">
        <v>90</v>
      </c>
      <c r="M488" t="s">
        <v>72</v>
      </c>
      <c r="N488" t="s">
        <v>5715</v>
      </c>
      <c r="O488" t="s">
        <v>3473</v>
      </c>
      <c r="P488" t="s">
        <v>73</v>
      </c>
      <c r="Q488" t="str">
        <f>"14760"</f>
        <v>14760</v>
      </c>
      <c r="AC488" t="s">
        <v>75</v>
      </c>
      <c r="AD488" t="s">
        <v>72</v>
      </c>
      <c r="AE488" t="s">
        <v>91</v>
      </c>
      <c r="AG488" t="s">
        <v>77</v>
      </c>
    </row>
    <row r="489" spans="1:33" x14ac:dyDescent="0.25">
      <c r="C489" t="s">
        <v>5716</v>
      </c>
      <c r="G489" t="s">
        <v>5717</v>
      </c>
      <c r="H489" t="s">
        <v>694</v>
      </c>
      <c r="J489" t="s">
        <v>3686</v>
      </c>
      <c r="K489" t="s">
        <v>89</v>
      </c>
      <c r="L489" t="s">
        <v>90</v>
      </c>
      <c r="M489" t="s">
        <v>72</v>
      </c>
      <c r="AC489" t="s">
        <v>75</v>
      </c>
      <c r="AD489" t="s">
        <v>72</v>
      </c>
      <c r="AE489" t="s">
        <v>91</v>
      </c>
      <c r="AG489" t="s">
        <v>77</v>
      </c>
    </row>
    <row r="490" spans="1:33" x14ac:dyDescent="0.25">
      <c r="C490" t="s">
        <v>5718</v>
      </c>
      <c r="G490" t="s">
        <v>5717</v>
      </c>
      <c r="H490" t="s">
        <v>694</v>
      </c>
      <c r="J490" t="s">
        <v>3686</v>
      </c>
      <c r="K490" t="s">
        <v>89</v>
      </c>
      <c r="L490" t="s">
        <v>90</v>
      </c>
      <c r="M490" t="s">
        <v>72</v>
      </c>
      <c r="AC490" t="s">
        <v>75</v>
      </c>
      <c r="AD490" t="s">
        <v>72</v>
      </c>
      <c r="AE490" t="s">
        <v>91</v>
      </c>
      <c r="AG490" t="s">
        <v>77</v>
      </c>
    </row>
    <row r="491" spans="1:33" x14ac:dyDescent="0.25">
      <c r="A491" t="str">
        <f>"1316132533"</f>
        <v>1316132533</v>
      </c>
      <c r="B491" t="str">
        <f>"02899296"</f>
        <v>02899296</v>
      </c>
      <c r="C491" t="s">
        <v>5719</v>
      </c>
      <c r="D491" t="s">
        <v>2620</v>
      </c>
      <c r="E491" t="s">
        <v>2621</v>
      </c>
      <c r="F491">
        <v>161291766</v>
      </c>
      <c r="G491" t="s">
        <v>5717</v>
      </c>
      <c r="H491" t="s">
        <v>694</v>
      </c>
      <c r="J491" t="s">
        <v>3686</v>
      </c>
      <c r="L491" t="s">
        <v>35</v>
      </c>
      <c r="M491" t="s">
        <v>81</v>
      </c>
      <c r="R491" t="s">
        <v>691</v>
      </c>
      <c r="W491" t="s">
        <v>2621</v>
      </c>
      <c r="X491" t="s">
        <v>2622</v>
      </c>
      <c r="Y491" t="s">
        <v>217</v>
      </c>
      <c r="Z491" t="s">
        <v>73</v>
      </c>
      <c r="AA491" t="str">
        <f>"14760-2027"</f>
        <v>14760-2027</v>
      </c>
      <c r="AB491" t="s">
        <v>109</v>
      </c>
      <c r="AC491" t="s">
        <v>75</v>
      </c>
      <c r="AD491" t="s">
        <v>72</v>
      </c>
      <c r="AE491" t="s">
        <v>76</v>
      </c>
      <c r="AG491" t="s">
        <v>77</v>
      </c>
    </row>
    <row r="492" spans="1:33" x14ac:dyDescent="0.25">
      <c r="A492" t="str">
        <f>"1841463460"</f>
        <v>1841463460</v>
      </c>
      <c r="B492" t="str">
        <f>"01099590"</f>
        <v>01099590</v>
      </c>
      <c r="C492" t="s">
        <v>5720</v>
      </c>
      <c r="D492" t="s">
        <v>1358</v>
      </c>
      <c r="E492" t="s">
        <v>1359</v>
      </c>
      <c r="F492">
        <v>161291766</v>
      </c>
      <c r="G492" t="s">
        <v>5717</v>
      </c>
      <c r="H492" t="s">
        <v>694</v>
      </c>
      <c r="J492" t="s">
        <v>3686</v>
      </c>
      <c r="L492" t="s">
        <v>95</v>
      </c>
      <c r="M492" t="s">
        <v>81</v>
      </c>
      <c r="R492" t="s">
        <v>691</v>
      </c>
      <c r="W492" t="s">
        <v>1359</v>
      </c>
      <c r="X492" t="s">
        <v>1360</v>
      </c>
      <c r="Y492" t="s">
        <v>1361</v>
      </c>
      <c r="Z492" t="s">
        <v>73</v>
      </c>
      <c r="AA492" t="str">
        <f>"14706-9733"</f>
        <v>14706-9733</v>
      </c>
      <c r="AB492" t="s">
        <v>109</v>
      </c>
      <c r="AC492" t="s">
        <v>75</v>
      </c>
      <c r="AD492" t="s">
        <v>72</v>
      </c>
      <c r="AE492" t="s">
        <v>76</v>
      </c>
      <c r="AG492" t="s">
        <v>77</v>
      </c>
    </row>
    <row r="493" spans="1:33" x14ac:dyDescent="0.25">
      <c r="A493" t="str">
        <f>"1811169527"</f>
        <v>1811169527</v>
      </c>
      <c r="B493" t="str">
        <f>"03007669"</f>
        <v>03007669</v>
      </c>
      <c r="C493" t="s">
        <v>5721</v>
      </c>
      <c r="D493" t="s">
        <v>3290</v>
      </c>
      <c r="E493" t="s">
        <v>3291</v>
      </c>
      <c r="F493">
        <v>161291766</v>
      </c>
      <c r="G493" t="s">
        <v>5717</v>
      </c>
      <c r="H493" t="s">
        <v>694</v>
      </c>
      <c r="J493" t="s">
        <v>3686</v>
      </c>
      <c r="L493" t="s">
        <v>10</v>
      </c>
      <c r="M493" t="s">
        <v>81</v>
      </c>
      <c r="R493" t="s">
        <v>3597</v>
      </c>
      <c r="W493" t="s">
        <v>3291</v>
      </c>
      <c r="X493" t="s">
        <v>3292</v>
      </c>
      <c r="Y493" t="s">
        <v>217</v>
      </c>
      <c r="Z493" t="s">
        <v>73</v>
      </c>
      <c r="AA493" t="str">
        <f>"14760-2849"</f>
        <v>14760-2849</v>
      </c>
      <c r="AB493" t="s">
        <v>88</v>
      </c>
      <c r="AC493" t="s">
        <v>75</v>
      </c>
      <c r="AD493" t="s">
        <v>72</v>
      </c>
      <c r="AE493" t="s">
        <v>76</v>
      </c>
      <c r="AG493" t="s">
        <v>77</v>
      </c>
    </row>
    <row r="494" spans="1:33" x14ac:dyDescent="0.25">
      <c r="A494" t="str">
        <f>"1760655484"</f>
        <v>1760655484</v>
      </c>
      <c r="C494" t="s">
        <v>5722</v>
      </c>
      <c r="G494" t="s">
        <v>5717</v>
      </c>
      <c r="H494" t="s">
        <v>694</v>
      </c>
      <c r="J494" t="s">
        <v>3686</v>
      </c>
      <c r="K494" t="s">
        <v>89</v>
      </c>
      <c r="L494" t="s">
        <v>92</v>
      </c>
      <c r="M494" t="s">
        <v>72</v>
      </c>
      <c r="R494" t="s">
        <v>3597</v>
      </c>
      <c r="S494" t="s">
        <v>695</v>
      </c>
      <c r="T494" t="s">
        <v>217</v>
      </c>
      <c r="U494" t="s">
        <v>73</v>
      </c>
      <c r="V494" t="str">
        <f>"147601140"</f>
        <v>147601140</v>
      </c>
      <c r="AC494" t="s">
        <v>75</v>
      </c>
      <c r="AD494" t="s">
        <v>72</v>
      </c>
      <c r="AE494" t="s">
        <v>93</v>
      </c>
      <c r="AG494" t="s">
        <v>77</v>
      </c>
    </row>
    <row r="495" spans="1:33" x14ac:dyDescent="0.25">
      <c r="B495" t="str">
        <f>"01996914"</f>
        <v>01996914</v>
      </c>
      <c r="C495" t="s">
        <v>5723</v>
      </c>
      <c r="D495" t="s">
        <v>5724</v>
      </c>
      <c r="E495" t="s">
        <v>5725</v>
      </c>
      <c r="F495">
        <v>161291766</v>
      </c>
      <c r="G495" t="s">
        <v>5717</v>
      </c>
      <c r="H495" t="s">
        <v>694</v>
      </c>
      <c r="J495" t="s">
        <v>3686</v>
      </c>
      <c r="L495" t="s">
        <v>33</v>
      </c>
      <c r="M495" t="s">
        <v>72</v>
      </c>
      <c r="W495" t="s">
        <v>5726</v>
      </c>
      <c r="X495" t="s">
        <v>695</v>
      </c>
      <c r="Y495" t="s">
        <v>217</v>
      </c>
      <c r="Z495" t="s">
        <v>73</v>
      </c>
      <c r="AA495" t="str">
        <f>"14760-1140"</f>
        <v>14760-1140</v>
      </c>
      <c r="AB495" t="s">
        <v>88</v>
      </c>
      <c r="AC495" t="s">
        <v>75</v>
      </c>
      <c r="AD495" t="s">
        <v>72</v>
      </c>
      <c r="AE495" t="s">
        <v>76</v>
      </c>
      <c r="AG495" t="s">
        <v>77</v>
      </c>
    </row>
    <row r="496" spans="1:33" x14ac:dyDescent="0.25">
      <c r="A496" t="str">
        <f>"1730352451"</f>
        <v>1730352451</v>
      </c>
      <c r="B496" t="str">
        <f>"01341886"</f>
        <v>01341886</v>
      </c>
      <c r="C496" t="s">
        <v>5727</v>
      </c>
      <c r="D496" t="s">
        <v>692</v>
      </c>
      <c r="E496" t="s">
        <v>693</v>
      </c>
      <c r="F496">
        <v>161291766</v>
      </c>
      <c r="G496" t="s">
        <v>5717</v>
      </c>
      <c r="H496" t="s">
        <v>694</v>
      </c>
      <c r="J496" t="s">
        <v>3686</v>
      </c>
      <c r="L496" t="s">
        <v>33</v>
      </c>
      <c r="M496" t="s">
        <v>81</v>
      </c>
      <c r="R496" t="s">
        <v>691</v>
      </c>
      <c r="W496" t="s">
        <v>693</v>
      </c>
      <c r="X496" t="s">
        <v>695</v>
      </c>
      <c r="Y496" t="s">
        <v>217</v>
      </c>
      <c r="Z496" t="s">
        <v>73</v>
      </c>
      <c r="AA496" t="str">
        <f>"14760-1140"</f>
        <v>14760-1140</v>
      </c>
      <c r="AB496" t="s">
        <v>88</v>
      </c>
      <c r="AC496" t="s">
        <v>75</v>
      </c>
      <c r="AD496" t="s">
        <v>72</v>
      </c>
      <c r="AE496" t="s">
        <v>76</v>
      </c>
      <c r="AF496" t="s">
        <v>4059</v>
      </c>
      <c r="AG496" t="s">
        <v>77</v>
      </c>
    </row>
    <row r="497" spans="1:33" x14ac:dyDescent="0.25">
      <c r="A497" t="str">
        <f>"1972768042"</f>
        <v>1972768042</v>
      </c>
      <c r="B497" t="str">
        <f>"03353519"</f>
        <v>03353519</v>
      </c>
      <c r="C497" t="s">
        <v>5728</v>
      </c>
      <c r="D497" t="s">
        <v>1333</v>
      </c>
      <c r="E497" t="s">
        <v>1334</v>
      </c>
      <c r="G497" t="s">
        <v>5004</v>
      </c>
      <c r="H497" t="s">
        <v>5005</v>
      </c>
      <c r="J497" t="s">
        <v>5006</v>
      </c>
      <c r="L497" t="s">
        <v>79</v>
      </c>
      <c r="M497" t="s">
        <v>72</v>
      </c>
      <c r="R497" t="s">
        <v>1335</v>
      </c>
      <c r="W497" t="s">
        <v>1336</v>
      </c>
      <c r="X497" t="s">
        <v>243</v>
      </c>
      <c r="Y497" t="s">
        <v>117</v>
      </c>
      <c r="Z497" t="s">
        <v>73</v>
      </c>
      <c r="AA497" t="str">
        <f>"14203-1126"</f>
        <v>14203-1126</v>
      </c>
      <c r="AB497" t="s">
        <v>74</v>
      </c>
      <c r="AC497" t="s">
        <v>75</v>
      </c>
      <c r="AD497" t="s">
        <v>72</v>
      </c>
      <c r="AE497" t="s">
        <v>76</v>
      </c>
      <c r="AF497" t="s">
        <v>3974</v>
      </c>
      <c r="AG497" t="s">
        <v>77</v>
      </c>
    </row>
    <row r="498" spans="1:33" x14ac:dyDescent="0.25">
      <c r="A498" t="str">
        <f>"1568602209"</f>
        <v>1568602209</v>
      </c>
      <c r="B498" t="str">
        <f>"03351773"</f>
        <v>03351773</v>
      </c>
      <c r="C498" t="s">
        <v>5729</v>
      </c>
      <c r="D498" t="s">
        <v>645</v>
      </c>
      <c r="E498" t="s">
        <v>646</v>
      </c>
      <c r="G498" t="s">
        <v>5151</v>
      </c>
      <c r="H498" t="s">
        <v>647</v>
      </c>
      <c r="J498" t="s">
        <v>5152</v>
      </c>
      <c r="L498" t="s">
        <v>79</v>
      </c>
      <c r="M498" t="s">
        <v>72</v>
      </c>
      <c r="R498" t="s">
        <v>648</v>
      </c>
      <c r="W498" t="s">
        <v>646</v>
      </c>
      <c r="X498" t="s">
        <v>649</v>
      </c>
      <c r="Y498" t="s">
        <v>237</v>
      </c>
      <c r="Z498" t="s">
        <v>73</v>
      </c>
      <c r="AA498" t="str">
        <f>"14224-4658"</f>
        <v>14224-4658</v>
      </c>
      <c r="AB498" t="s">
        <v>74</v>
      </c>
      <c r="AC498" t="s">
        <v>75</v>
      </c>
      <c r="AD498" t="s">
        <v>72</v>
      </c>
      <c r="AE498" t="s">
        <v>76</v>
      </c>
      <c r="AF498" t="s">
        <v>3961</v>
      </c>
      <c r="AG498" t="s">
        <v>77</v>
      </c>
    </row>
    <row r="499" spans="1:33" x14ac:dyDescent="0.25">
      <c r="A499" t="str">
        <f>"1891926663"</f>
        <v>1891926663</v>
      </c>
      <c r="B499" t="str">
        <f>"03361882"</f>
        <v>03361882</v>
      </c>
      <c r="C499" t="s">
        <v>5730</v>
      </c>
      <c r="D499" t="s">
        <v>5731</v>
      </c>
      <c r="E499" t="s">
        <v>5732</v>
      </c>
      <c r="G499" t="s">
        <v>4739</v>
      </c>
      <c r="H499" t="s">
        <v>2761</v>
      </c>
      <c r="J499" t="s">
        <v>4740</v>
      </c>
      <c r="L499" t="s">
        <v>80</v>
      </c>
      <c r="M499" t="s">
        <v>72</v>
      </c>
      <c r="R499" t="s">
        <v>5733</v>
      </c>
      <c r="W499" t="s">
        <v>5732</v>
      </c>
      <c r="X499" t="s">
        <v>3776</v>
      </c>
      <c r="Y499" t="s">
        <v>237</v>
      </c>
      <c r="Z499" t="s">
        <v>73</v>
      </c>
      <c r="AA499" t="str">
        <f>"14224-3445"</f>
        <v>14224-3445</v>
      </c>
      <c r="AB499" t="s">
        <v>74</v>
      </c>
      <c r="AC499" t="s">
        <v>75</v>
      </c>
      <c r="AD499" t="s">
        <v>72</v>
      </c>
      <c r="AE499" t="s">
        <v>76</v>
      </c>
      <c r="AF499" t="s">
        <v>3961</v>
      </c>
      <c r="AG499" t="s">
        <v>77</v>
      </c>
    </row>
    <row r="500" spans="1:33" x14ac:dyDescent="0.25">
      <c r="A500" t="str">
        <f>"1649596495"</f>
        <v>1649596495</v>
      </c>
      <c r="B500" t="str">
        <f>"03269078"</f>
        <v>03269078</v>
      </c>
      <c r="C500" t="s">
        <v>5734</v>
      </c>
      <c r="D500" t="s">
        <v>1547</v>
      </c>
      <c r="E500" t="s">
        <v>1548</v>
      </c>
      <c r="G500" t="s">
        <v>4783</v>
      </c>
      <c r="H500" t="s">
        <v>789</v>
      </c>
      <c r="J500" t="s">
        <v>4784</v>
      </c>
      <c r="L500" t="s">
        <v>79</v>
      </c>
      <c r="M500" t="s">
        <v>72</v>
      </c>
      <c r="R500" t="s">
        <v>1549</v>
      </c>
      <c r="W500" t="s">
        <v>1548</v>
      </c>
      <c r="X500" t="s">
        <v>1550</v>
      </c>
      <c r="Y500" t="s">
        <v>228</v>
      </c>
      <c r="Z500" t="s">
        <v>73</v>
      </c>
      <c r="AA500" t="str">
        <f>"14226-1727"</f>
        <v>14226-1727</v>
      </c>
      <c r="AB500" t="s">
        <v>74</v>
      </c>
      <c r="AC500" t="s">
        <v>75</v>
      </c>
      <c r="AD500" t="s">
        <v>72</v>
      </c>
      <c r="AE500" t="s">
        <v>76</v>
      </c>
      <c r="AF500" t="s">
        <v>3974</v>
      </c>
      <c r="AG500" t="s">
        <v>77</v>
      </c>
    </row>
    <row r="501" spans="1:33" x14ac:dyDescent="0.25">
      <c r="A501" t="str">
        <f>"1508871930"</f>
        <v>1508871930</v>
      </c>
      <c r="B501" t="str">
        <f>"02686377"</f>
        <v>02686377</v>
      </c>
      <c r="C501" t="s">
        <v>5735</v>
      </c>
      <c r="D501" t="s">
        <v>5736</v>
      </c>
      <c r="E501" t="s">
        <v>5737</v>
      </c>
      <c r="G501" t="s">
        <v>5735</v>
      </c>
      <c r="H501" t="s">
        <v>4732</v>
      </c>
      <c r="J501" t="s">
        <v>5738</v>
      </c>
      <c r="L501" t="s">
        <v>79</v>
      </c>
      <c r="M501" t="s">
        <v>72</v>
      </c>
      <c r="R501" t="s">
        <v>5739</v>
      </c>
      <c r="W501" t="s">
        <v>5740</v>
      </c>
      <c r="X501" t="s">
        <v>301</v>
      </c>
      <c r="Y501" t="s">
        <v>117</v>
      </c>
      <c r="Z501" t="s">
        <v>73</v>
      </c>
      <c r="AA501" t="str">
        <f>"14214-2648"</f>
        <v>14214-2648</v>
      </c>
      <c r="AB501" t="s">
        <v>74</v>
      </c>
      <c r="AC501" t="s">
        <v>75</v>
      </c>
      <c r="AD501" t="s">
        <v>72</v>
      </c>
      <c r="AE501" t="s">
        <v>76</v>
      </c>
      <c r="AF501" t="s">
        <v>3974</v>
      </c>
      <c r="AG501" t="s">
        <v>77</v>
      </c>
    </row>
    <row r="502" spans="1:33" x14ac:dyDescent="0.25">
      <c r="A502" t="str">
        <f>"1912936121"</f>
        <v>1912936121</v>
      </c>
      <c r="B502" t="str">
        <f>"02505493"</f>
        <v>02505493</v>
      </c>
      <c r="C502" t="s">
        <v>5741</v>
      </c>
      <c r="D502" t="s">
        <v>3730</v>
      </c>
      <c r="E502" t="s">
        <v>3731</v>
      </c>
      <c r="G502" t="s">
        <v>5742</v>
      </c>
      <c r="H502" t="s">
        <v>1408</v>
      </c>
      <c r="J502" t="s">
        <v>5743</v>
      </c>
      <c r="L502" t="s">
        <v>80</v>
      </c>
      <c r="M502" t="s">
        <v>81</v>
      </c>
      <c r="R502" t="s">
        <v>3732</v>
      </c>
      <c r="W502" t="s">
        <v>3733</v>
      </c>
      <c r="X502" t="s">
        <v>3734</v>
      </c>
      <c r="Y502" t="s">
        <v>117</v>
      </c>
      <c r="Z502" t="s">
        <v>73</v>
      </c>
      <c r="AA502" t="str">
        <f>"14220-2039"</f>
        <v>14220-2039</v>
      </c>
      <c r="AB502" t="s">
        <v>74</v>
      </c>
      <c r="AC502" t="s">
        <v>75</v>
      </c>
      <c r="AD502" t="s">
        <v>72</v>
      </c>
      <c r="AE502" t="s">
        <v>76</v>
      </c>
      <c r="AF502" t="s">
        <v>3961</v>
      </c>
      <c r="AG502" t="s">
        <v>77</v>
      </c>
    </row>
    <row r="503" spans="1:33" x14ac:dyDescent="0.25">
      <c r="A503" t="str">
        <f>"1497075410"</f>
        <v>1497075410</v>
      </c>
      <c r="B503" t="str">
        <f>"03265432"</f>
        <v>03265432</v>
      </c>
      <c r="C503" t="s">
        <v>5744</v>
      </c>
      <c r="D503" t="s">
        <v>5745</v>
      </c>
      <c r="E503" t="s">
        <v>5746</v>
      </c>
      <c r="G503" t="s">
        <v>5463</v>
      </c>
      <c r="H503" t="s">
        <v>589</v>
      </c>
      <c r="J503" t="s">
        <v>5464</v>
      </c>
      <c r="L503" t="s">
        <v>79</v>
      </c>
      <c r="M503" t="s">
        <v>72</v>
      </c>
      <c r="R503" t="s">
        <v>5746</v>
      </c>
      <c r="W503" t="s">
        <v>5746</v>
      </c>
      <c r="X503" t="s">
        <v>5747</v>
      </c>
      <c r="Y503" t="s">
        <v>117</v>
      </c>
      <c r="Z503" t="s">
        <v>73</v>
      </c>
      <c r="AA503" t="str">
        <f>"14227-1465"</f>
        <v>14227-1465</v>
      </c>
      <c r="AB503" t="s">
        <v>74</v>
      </c>
      <c r="AC503" t="s">
        <v>75</v>
      </c>
      <c r="AD503" t="s">
        <v>72</v>
      </c>
      <c r="AE503" t="s">
        <v>76</v>
      </c>
      <c r="AF503" t="s">
        <v>3974</v>
      </c>
      <c r="AG503" t="s">
        <v>77</v>
      </c>
    </row>
    <row r="504" spans="1:33" x14ac:dyDescent="0.25">
      <c r="A504" t="str">
        <f>"1790740637"</f>
        <v>1790740637</v>
      </c>
      <c r="B504" t="str">
        <f>"02697432"</f>
        <v>02697432</v>
      </c>
      <c r="C504" t="s">
        <v>5748</v>
      </c>
      <c r="D504" t="s">
        <v>5749</v>
      </c>
      <c r="E504" t="s">
        <v>5750</v>
      </c>
      <c r="G504" t="s">
        <v>4505</v>
      </c>
      <c r="H504" t="s">
        <v>4506</v>
      </c>
      <c r="J504" t="s">
        <v>4507</v>
      </c>
      <c r="L504" t="s">
        <v>80</v>
      </c>
      <c r="M504" t="s">
        <v>72</v>
      </c>
      <c r="R504" t="s">
        <v>5751</v>
      </c>
      <c r="W504" t="s">
        <v>5750</v>
      </c>
      <c r="X504" t="s">
        <v>1542</v>
      </c>
      <c r="Y504" t="s">
        <v>221</v>
      </c>
      <c r="Z504" t="s">
        <v>73</v>
      </c>
      <c r="AA504" t="str">
        <f>"14221-8216"</f>
        <v>14221-8216</v>
      </c>
      <c r="AB504" t="s">
        <v>74</v>
      </c>
      <c r="AC504" t="s">
        <v>75</v>
      </c>
      <c r="AD504" t="s">
        <v>72</v>
      </c>
      <c r="AE504" t="s">
        <v>76</v>
      </c>
      <c r="AF504" t="s">
        <v>3961</v>
      </c>
      <c r="AG504" t="s">
        <v>77</v>
      </c>
    </row>
    <row r="505" spans="1:33" x14ac:dyDescent="0.25">
      <c r="A505" t="str">
        <f>"1588603054"</f>
        <v>1588603054</v>
      </c>
      <c r="B505" t="str">
        <f>"00824768"</f>
        <v>00824768</v>
      </c>
      <c r="C505" t="s">
        <v>5752</v>
      </c>
      <c r="D505" t="s">
        <v>5753</v>
      </c>
      <c r="E505" t="s">
        <v>5754</v>
      </c>
      <c r="G505" t="s">
        <v>5752</v>
      </c>
      <c r="H505" t="s">
        <v>5755</v>
      </c>
      <c r="J505" t="s">
        <v>5756</v>
      </c>
      <c r="L505" t="s">
        <v>79</v>
      </c>
      <c r="M505" t="s">
        <v>72</v>
      </c>
      <c r="R505" t="s">
        <v>5757</v>
      </c>
      <c r="W505" t="s">
        <v>5754</v>
      </c>
      <c r="X505" t="s">
        <v>275</v>
      </c>
      <c r="Y505" t="s">
        <v>117</v>
      </c>
      <c r="Z505" t="s">
        <v>73</v>
      </c>
      <c r="AA505" t="str">
        <f>"14203-1154"</f>
        <v>14203-1154</v>
      </c>
      <c r="AB505" t="s">
        <v>74</v>
      </c>
      <c r="AC505" t="s">
        <v>75</v>
      </c>
      <c r="AD505" t="s">
        <v>72</v>
      </c>
      <c r="AE505" t="s">
        <v>76</v>
      </c>
      <c r="AF505" t="s">
        <v>3974</v>
      </c>
      <c r="AG505" t="s">
        <v>77</v>
      </c>
    </row>
    <row r="506" spans="1:33" x14ac:dyDescent="0.25">
      <c r="A506" t="str">
        <f>"1790783355"</f>
        <v>1790783355</v>
      </c>
      <c r="B506" t="str">
        <f>"00887747"</f>
        <v>00887747</v>
      </c>
      <c r="C506" t="s">
        <v>5758</v>
      </c>
      <c r="D506" t="s">
        <v>3523</v>
      </c>
      <c r="E506" t="s">
        <v>3524</v>
      </c>
      <c r="G506" t="s">
        <v>4714</v>
      </c>
      <c r="H506" t="s">
        <v>4715</v>
      </c>
      <c r="J506" t="s">
        <v>4716</v>
      </c>
      <c r="L506" t="s">
        <v>80</v>
      </c>
      <c r="M506" t="s">
        <v>81</v>
      </c>
      <c r="R506" t="s">
        <v>3525</v>
      </c>
      <c r="W506" t="s">
        <v>3524</v>
      </c>
      <c r="Y506" t="s">
        <v>209</v>
      </c>
      <c r="Z506" t="s">
        <v>73</v>
      </c>
      <c r="AA506" t="str">
        <f>"14301-1813"</f>
        <v>14301-1813</v>
      </c>
      <c r="AB506" t="s">
        <v>74</v>
      </c>
      <c r="AC506" t="s">
        <v>75</v>
      </c>
      <c r="AD506" t="s">
        <v>72</v>
      </c>
      <c r="AE506" t="s">
        <v>76</v>
      </c>
      <c r="AG506" t="s">
        <v>77</v>
      </c>
    </row>
    <row r="507" spans="1:33" x14ac:dyDescent="0.25">
      <c r="A507" t="str">
        <f>"1396716908"</f>
        <v>1396716908</v>
      </c>
      <c r="B507" t="str">
        <f>"02166012"</f>
        <v>02166012</v>
      </c>
      <c r="C507" t="s">
        <v>5759</v>
      </c>
      <c r="D507" t="s">
        <v>5760</v>
      </c>
      <c r="E507" t="s">
        <v>5761</v>
      </c>
      <c r="G507" t="s">
        <v>4101</v>
      </c>
      <c r="H507" t="s">
        <v>4102</v>
      </c>
      <c r="I507">
        <v>44</v>
      </c>
      <c r="J507" t="s">
        <v>4103</v>
      </c>
      <c r="L507" t="s">
        <v>80</v>
      </c>
      <c r="M507" t="s">
        <v>81</v>
      </c>
      <c r="R507" t="s">
        <v>5762</v>
      </c>
      <c r="W507" t="s">
        <v>5761</v>
      </c>
      <c r="X507" t="s">
        <v>5763</v>
      </c>
      <c r="Y507" t="s">
        <v>242</v>
      </c>
      <c r="Z507" t="s">
        <v>73</v>
      </c>
      <c r="AA507" t="str">
        <f>"14701-2519"</f>
        <v>14701-2519</v>
      </c>
      <c r="AB507" t="s">
        <v>74</v>
      </c>
      <c r="AC507" t="s">
        <v>75</v>
      </c>
      <c r="AD507" t="s">
        <v>72</v>
      </c>
      <c r="AE507" t="s">
        <v>76</v>
      </c>
      <c r="AF507" t="s">
        <v>4049</v>
      </c>
      <c r="AG507" t="s">
        <v>77</v>
      </c>
    </row>
    <row r="508" spans="1:33" x14ac:dyDescent="0.25">
      <c r="A508" t="str">
        <f>"1720221229"</f>
        <v>1720221229</v>
      </c>
      <c r="B508" t="str">
        <f>"03455236"</f>
        <v>03455236</v>
      </c>
      <c r="C508" t="s">
        <v>5764</v>
      </c>
      <c r="D508" t="s">
        <v>5765</v>
      </c>
      <c r="E508" t="s">
        <v>5766</v>
      </c>
      <c r="G508" t="s">
        <v>4852</v>
      </c>
      <c r="H508" t="s">
        <v>4853</v>
      </c>
      <c r="J508" t="s">
        <v>4854</v>
      </c>
      <c r="L508" t="s">
        <v>80</v>
      </c>
      <c r="M508" t="s">
        <v>72</v>
      </c>
      <c r="R508" t="s">
        <v>5767</v>
      </c>
      <c r="W508" t="s">
        <v>5768</v>
      </c>
      <c r="X508" t="s">
        <v>5769</v>
      </c>
      <c r="Y508" t="s">
        <v>1079</v>
      </c>
      <c r="Z508" t="s">
        <v>73</v>
      </c>
      <c r="AA508" t="str">
        <f>"14075-2600"</f>
        <v>14075-2600</v>
      </c>
      <c r="AB508" t="s">
        <v>74</v>
      </c>
      <c r="AC508" t="s">
        <v>75</v>
      </c>
      <c r="AD508" t="s">
        <v>72</v>
      </c>
      <c r="AE508" t="s">
        <v>76</v>
      </c>
      <c r="AF508" t="s">
        <v>3961</v>
      </c>
      <c r="AG508" t="s">
        <v>77</v>
      </c>
    </row>
    <row r="509" spans="1:33" x14ac:dyDescent="0.25">
      <c r="A509" t="str">
        <f>"1679526909"</f>
        <v>1679526909</v>
      </c>
      <c r="B509" t="str">
        <f>"01945220"</f>
        <v>01945220</v>
      </c>
      <c r="C509" t="s">
        <v>5770</v>
      </c>
      <c r="D509" t="s">
        <v>5771</v>
      </c>
      <c r="E509" t="s">
        <v>5772</v>
      </c>
      <c r="G509" t="s">
        <v>3969</v>
      </c>
      <c r="H509" t="s">
        <v>3970</v>
      </c>
      <c r="J509" t="s">
        <v>3971</v>
      </c>
      <c r="L509" t="s">
        <v>79</v>
      </c>
      <c r="M509" t="s">
        <v>72</v>
      </c>
      <c r="R509" t="s">
        <v>5773</v>
      </c>
      <c r="W509" t="s">
        <v>5772</v>
      </c>
      <c r="X509" t="s">
        <v>435</v>
      </c>
      <c r="Y509" t="s">
        <v>436</v>
      </c>
      <c r="Z509" t="s">
        <v>73</v>
      </c>
      <c r="AA509" t="str">
        <f>"14217-1390"</f>
        <v>14217-1390</v>
      </c>
      <c r="AB509" t="s">
        <v>74</v>
      </c>
      <c r="AC509" t="s">
        <v>75</v>
      </c>
      <c r="AD509" t="s">
        <v>72</v>
      </c>
      <c r="AE509" t="s">
        <v>76</v>
      </c>
      <c r="AF509" t="s">
        <v>3974</v>
      </c>
      <c r="AG509" t="s">
        <v>77</v>
      </c>
    </row>
    <row r="510" spans="1:33" x14ac:dyDescent="0.25">
      <c r="A510" t="str">
        <f>"1477796092"</f>
        <v>1477796092</v>
      </c>
      <c r="B510" t="str">
        <f>"03184287"</f>
        <v>03184287</v>
      </c>
      <c r="C510" t="s">
        <v>5774</v>
      </c>
      <c r="D510" t="s">
        <v>1554</v>
      </c>
      <c r="E510" t="s">
        <v>1555</v>
      </c>
      <c r="G510" t="s">
        <v>5774</v>
      </c>
      <c r="H510" t="s">
        <v>5775</v>
      </c>
      <c r="J510" t="s">
        <v>5776</v>
      </c>
      <c r="L510" t="s">
        <v>80</v>
      </c>
      <c r="M510" t="s">
        <v>81</v>
      </c>
      <c r="R510" t="s">
        <v>1556</v>
      </c>
      <c r="W510" t="s">
        <v>1556</v>
      </c>
      <c r="X510" t="s">
        <v>301</v>
      </c>
      <c r="Y510" t="s">
        <v>117</v>
      </c>
      <c r="Z510" t="s">
        <v>73</v>
      </c>
      <c r="AA510" t="str">
        <f>"14214-2648"</f>
        <v>14214-2648</v>
      </c>
      <c r="AB510" t="s">
        <v>74</v>
      </c>
      <c r="AC510" t="s">
        <v>75</v>
      </c>
      <c r="AD510" t="s">
        <v>72</v>
      </c>
      <c r="AE510" t="s">
        <v>76</v>
      </c>
      <c r="AF510" t="s">
        <v>3961</v>
      </c>
      <c r="AG510" t="s">
        <v>77</v>
      </c>
    </row>
    <row r="511" spans="1:33" x14ac:dyDescent="0.25">
      <c r="A511" t="str">
        <f>"1619934536"</f>
        <v>1619934536</v>
      </c>
      <c r="B511" t="str">
        <f>"02346289"</f>
        <v>02346289</v>
      </c>
      <c r="C511" t="s">
        <v>5777</v>
      </c>
      <c r="D511" t="s">
        <v>5778</v>
      </c>
      <c r="E511" t="s">
        <v>5779</v>
      </c>
      <c r="G511" t="s">
        <v>5076</v>
      </c>
      <c r="H511" t="s">
        <v>5077</v>
      </c>
      <c r="J511" t="s">
        <v>5078</v>
      </c>
      <c r="L511" t="s">
        <v>79</v>
      </c>
      <c r="M511" t="s">
        <v>72</v>
      </c>
      <c r="R511" t="s">
        <v>5779</v>
      </c>
      <c r="W511" t="s">
        <v>5779</v>
      </c>
      <c r="X511" t="s">
        <v>5779</v>
      </c>
      <c r="Y511" t="s">
        <v>436</v>
      </c>
      <c r="Z511" t="s">
        <v>73</v>
      </c>
      <c r="AA511" t="str">
        <f>"14217-1304"</f>
        <v>14217-1304</v>
      </c>
      <c r="AB511" t="s">
        <v>74</v>
      </c>
      <c r="AC511" t="s">
        <v>75</v>
      </c>
      <c r="AD511" t="s">
        <v>72</v>
      </c>
      <c r="AE511" t="s">
        <v>76</v>
      </c>
      <c r="AF511" t="s">
        <v>3974</v>
      </c>
      <c r="AG511" t="s">
        <v>77</v>
      </c>
    </row>
    <row r="512" spans="1:33" x14ac:dyDescent="0.25">
      <c r="A512" t="str">
        <f>"1396793782"</f>
        <v>1396793782</v>
      </c>
      <c r="B512" t="str">
        <f>"01538921"</f>
        <v>01538921</v>
      </c>
      <c r="C512" t="s">
        <v>5780</v>
      </c>
      <c r="D512" t="s">
        <v>1433</v>
      </c>
      <c r="E512" t="s">
        <v>1434</v>
      </c>
      <c r="G512" t="s">
        <v>5781</v>
      </c>
      <c r="H512" t="s">
        <v>1435</v>
      </c>
      <c r="J512" t="s">
        <v>5782</v>
      </c>
      <c r="L512" t="s">
        <v>80</v>
      </c>
      <c r="M512" t="s">
        <v>72</v>
      </c>
      <c r="R512" t="s">
        <v>1436</v>
      </c>
      <c r="W512" t="s">
        <v>1437</v>
      </c>
      <c r="X512" t="s">
        <v>1438</v>
      </c>
      <c r="Y512" t="s">
        <v>1393</v>
      </c>
      <c r="Z512" t="s">
        <v>73</v>
      </c>
      <c r="AA512" t="str">
        <f>"14228-1300"</f>
        <v>14228-1300</v>
      </c>
      <c r="AB512" t="s">
        <v>74</v>
      </c>
      <c r="AC512" t="s">
        <v>75</v>
      </c>
      <c r="AD512" t="s">
        <v>72</v>
      </c>
      <c r="AE512" t="s">
        <v>76</v>
      </c>
      <c r="AF512" t="s">
        <v>3961</v>
      </c>
      <c r="AG512" t="s">
        <v>77</v>
      </c>
    </row>
    <row r="513" spans="1:33" x14ac:dyDescent="0.25">
      <c r="A513" t="str">
        <f>"1588686307"</f>
        <v>1588686307</v>
      </c>
      <c r="B513" t="str">
        <f>"02775822"</f>
        <v>02775822</v>
      </c>
      <c r="C513" t="s">
        <v>5783</v>
      </c>
      <c r="D513" t="s">
        <v>5784</v>
      </c>
      <c r="E513" t="s">
        <v>5785</v>
      </c>
      <c r="G513" t="s">
        <v>5783</v>
      </c>
      <c r="H513" t="s">
        <v>5786</v>
      </c>
      <c r="L513" t="s">
        <v>80</v>
      </c>
      <c r="M513" t="s">
        <v>72</v>
      </c>
      <c r="R513" t="s">
        <v>5787</v>
      </c>
      <c r="W513" t="s">
        <v>5785</v>
      </c>
      <c r="X513" t="s">
        <v>5409</v>
      </c>
      <c r="Y513" t="s">
        <v>117</v>
      </c>
      <c r="Z513" t="s">
        <v>73</v>
      </c>
      <c r="AA513" t="str">
        <f>"14204-2275"</f>
        <v>14204-2275</v>
      </c>
      <c r="AB513" t="s">
        <v>74</v>
      </c>
      <c r="AC513" t="s">
        <v>75</v>
      </c>
      <c r="AD513" t="s">
        <v>72</v>
      </c>
      <c r="AE513" t="s">
        <v>76</v>
      </c>
      <c r="AF513" t="s">
        <v>3961</v>
      </c>
      <c r="AG513" t="s">
        <v>77</v>
      </c>
    </row>
    <row r="514" spans="1:33" x14ac:dyDescent="0.25">
      <c r="A514" t="str">
        <f>"1558379297"</f>
        <v>1558379297</v>
      </c>
      <c r="B514" t="str">
        <f>"01842846"</f>
        <v>01842846</v>
      </c>
      <c r="C514" t="s">
        <v>5788</v>
      </c>
      <c r="D514" t="s">
        <v>5789</v>
      </c>
      <c r="E514" t="s">
        <v>5790</v>
      </c>
      <c r="G514" t="s">
        <v>5788</v>
      </c>
      <c r="H514" t="s">
        <v>5791</v>
      </c>
      <c r="J514" t="s">
        <v>5792</v>
      </c>
      <c r="L514" t="s">
        <v>71</v>
      </c>
      <c r="M514" t="s">
        <v>72</v>
      </c>
      <c r="R514" t="s">
        <v>5793</v>
      </c>
      <c r="W514" t="s">
        <v>5790</v>
      </c>
      <c r="Y514" t="s">
        <v>117</v>
      </c>
      <c r="Z514" t="s">
        <v>73</v>
      </c>
      <c r="AA514" t="str">
        <f>"14220-2095"</f>
        <v>14220-2095</v>
      </c>
      <c r="AB514" t="s">
        <v>74</v>
      </c>
      <c r="AC514" t="s">
        <v>75</v>
      </c>
      <c r="AD514" t="s">
        <v>72</v>
      </c>
      <c r="AE514" t="s">
        <v>76</v>
      </c>
      <c r="AF514" t="s">
        <v>4043</v>
      </c>
      <c r="AG514" t="s">
        <v>77</v>
      </c>
    </row>
    <row r="515" spans="1:33" x14ac:dyDescent="0.25">
      <c r="A515" t="str">
        <f>"1992735344"</f>
        <v>1992735344</v>
      </c>
      <c r="B515" t="str">
        <f>"01971851"</f>
        <v>01971851</v>
      </c>
      <c r="C515" t="s">
        <v>5794</v>
      </c>
      <c r="D515" t="s">
        <v>3482</v>
      </c>
      <c r="E515" t="s">
        <v>3483</v>
      </c>
      <c r="G515" t="s">
        <v>4066</v>
      </c>
      <c r="H515" t="s">
        <v>5311</v>
      </c>
      <c r="J515" t="s">
        <v>5312</v>
      </c>
      <c r="L515" t="s">
        <v>71</v>
      </c>
      <c r="M515" t="s">
        <v>72</v>
      </c>
      <c r="R515" t="s">
        <v>3484</v>
      </c>
      <c r="W515" t="s">
        <v>3483</v>
      </c>
      <c r="X515" t="s">
        <v>301</v>
      </c>
      <c r="Y515" t="s">
        <v>117</v>
      </c>
      <c r="Z515" t="s">
        <v>73</v>
      </c>
      <c r="AA515" t="str">
        <f>"14214-2648"</f>
        <v>14214-2648</v>
      </c>
      <c r="AB515" t="s">
        <v>74</v>
      </c>
      <c r="AC515" t="s">
        <v>75</v>
      </c>
      <c r="AD515" t="s">
        <v>72</v>
      </c>
      <c r="AE515" t="s">
        <v>76</v>
      </c>
      <c r="AF515" t="s">
        <v>3961</v>
      </c>
      <c r="AG515" t="s">
        <v>77</v>
      </c>
    </row>
    <row r="516" spans="1:33" x14ac:dyDescent="0.25">
      <c r="A516" t="str">
        <f>"1871558825"</f>
        <v>1871558825</v>
      </c>
      <c r="B516" t="str">
        <f>"01276686"</f>
        <v>01276686</v>
      </c>
      <c r="C516" t="s">
        <v>5795</v>
      </c>
      <c r="D516" t="s">
        <v>5796</v>
      </c>
      <c r="E516" t="s">
        <v>5797</v>
      </c>
      <c r="G516" t="s">
        <v>4505</v>
      </c>
      <c r="H516" t="s">
        <v>4506</v>
      </c>
      <c r="J516" t="s">
        <v>4507</v>
      </c>
      <c r="L516" t="s">
        <v>80</v>
      </c>
      <c r="M516" t="s">
        <v>72</v>
      </c>
      <c r="R516" t="s">
        <v>5798</v>
      </c>
      <c r="W516" t="s">
        <v>5797</v>
      </c>
      <c r="X516" t="s">
        <v>576</v>
      </c>
      <c r="Y516" t="s">
        <v>117</v>
      </c>
      <c r="Z516" t="s">
        <v>73</v>
      </c>
      <c r="AA516" t="str">
        <f>"14223-1107"</f>
        <v>14223-1107</v>
      </c>
      <c r="AB516" t="s">
        <v>74</v>
      </c>
      <c r="AC516" t="s">
        <v>75</v>
      </c>
      <c r="AD516" t="s">
        <v>72</v>
      </c>
      <c r="AE516" t="s">
        <v>76</v>
      </c>
      <c r="AF516" t="s">
        <v>3961</v>
      </c>
      <c r="AG516" t="s">
        <v>77</v>
      </c>
    </row>
    <row r="517" spans="1:33" x14ac:dyDescent="0.25">
      <c r="A517" t="str">
        <f>"1700852837"</f>
        <v>1700852837</v>
      </c>
      <c r="B517" t="str">
        <f>"00656015"</f>
        <v>00656015</v>
      </c>
      <c r="C517" t="s">
        <v>5799</v>
      </c>
      <c r="D517" t="s">
        <v>5800</v>
      </c>
      <c r="E517" t="s">
        <v>5801</v>
      </c>
      <c r="G517" t="s">
        <v>5799</v>
      </c>
      <c r="H517" t="s">
        <v>5802</v>
      </c>
      <c r="J517" t="s">
        <v>5803</v>
      </c>
      <c r="L517" t="s">
        <v>79</v>
      </c>
      <c r="M517" t="s">
        <v>72</v>
      </c>
      <c r="R517" t="s">
        <v>5804</v>
      </c>
      <c r="W517" t="s">
        <v>5801</v>
      </c>
      <c r="X517" t="s">
        <v>3837</v>
      </c>
      <c r="Y517" t="s">
        <v>1079</v>
      </c>
      <c r="Z517" t="s">
        <v>73</v>
      </c>
      <c r="AA517" t="str">
        <f>"14075-4915"</f>
        <v>14075-4915</v>
      </c>
      <c r="AB517" t="s">
        <v>74</v>
      </c>
      <c r="AC517" t="s">
        <v>75</v>
      </c>
      <c r="AD517" t="s">
        <v>72</v>
      </c>
      <c r="AE517" t="s">
        <v>76</v>
      </c>
      <c r="AG517" t="s">
        <v>77</v>
      </c>
    </row>
    <row r="518" spans="1:33" x14ac:dyDescent="0.25">
      <c r="A518" t="str">
        <f>"1417913708"</f>
        <v>1417913708</v>
      </c>
      <c r="B518" t="str">
        <f>"01370887"</f>
        <v>01370887</v>
      </c>
      <c r="C518" t="s">
        <v>5805</v>
      </c>
      <c r="D518" t="s">
        <v>5806</v>
      </c>
      <c r="E518" t="s">
        <v>5807</v>
      </c>
      <c r="G518" t="s">
        <v>5076</v>
      </c>
      <c r="H518" t="s">
        <v>5077</v>
      </c>
      <c r="J518" t="s">
        <v>5078</v>
      </c>
      <c r="L518" t="s">
        <v>79</v>
      </c>
      <c r="M518" t="s">
        <v>72</v>
      </c>
      <c r="R518" t="s">
        <v>5808</v>
      </c>
      <c r="W518" t="s">
        <v>5807</v>
      </c>
      <c r="X518" t="s">
        <v>5809</v>
      </c>
      <c r="Y518" t="s">
        <v>117</v>
      </c>
      <c r="Z518" t="s">
        <v>73</v>
      </c>
      <c r="AA518" t="str">
        <f>"14203-1126"</f>
        <v>14203-1126</v>
      </c>
      <c r="AB518" t="s">
        <v>74</v>
      </c>
      <c r="AC518" t="s">
        <v>75</v>
      </c>
      <c r="AD518" t="s">
        <v>72</v>
      </c>
      <c r="AE518" t="s">
        <v>76</v>
      </c>
      <c r="AF518" t="s">
        <v>3974</v>
      </c>
      <c r="AG518" t="s">
        <v>77</v>
      </c>
    </row>
    <row r="519" spans="1:33" x14ac:dyDescent="0.25">
      <c r="A519" t="str">
        <f>"1750371985"</f>
        <v>1750371985</v>
      </c>
      <c r="B519" t="str">
        <f>"00645432"</f>
        <v>00645432</v>
      </c>
      <c r="C519" t="s">
        <v>5810</v>
      </c>
      <c r="D519" t="s">
        <v>5811</v>
      </c>
      <c r="E519" t="s">
        <v>5812</v>
      </c>
      <c r="G519" t="s">
        <v>5813</v>
      </c>
      <c r="H519" t="s">
        <v>5814</v>
      </c>
      <c r="J519" t="s">
        <v>5815</v>
      </c>
      <c r="L519" t="s">
        <v>71</v>
      </c>
      <c r="M519" t="s">
        <v>72</v>
      </c>
      <c r="R519" t="s">
        <v>5816</v>
      </c>
      <c r="W519" t="s">
        <v>5817</v>
      </c>
      <c r="X519" t="s">
        <v>2798</v>
      </c>
      <c r="Y519" t="s">
        <v>117</v>
      </c>
      <c r="Z519" t="s">
        <v>73</v>
      </c>
      <c r="AA519" t="str">
        <f>"14214-2648"</f>
        <v>14214-2648</v>
      </c>
      <c r="AB519" t="s">
        <v>74</v>
      </c>
      <c r="AC519" t="s">
        <v>75</v>
      </c>
      <c r="AD519" t="s">
        <v>72</v>
      </c>
      <c r="AE519" t="s">
        <v>76</v>
      </c>
      <c r="AF519" t="s">
        <v>3974</v>
      </c>
      <c r="AG519" t="s">
        <v>77</v>
      </c>
    </row>
    <row r="520" spans="1:33" x14ac:dyDescent="0.25">
      <c r="A520" t="str">
        <f>"1053344648"</f>
        <v>1053344648</v>
      </c>
      <c r="B520" t="str">
        <f>"00437903"</f>
        <v>00437903</v>
      </c>
      <c r="C520" t="s">
        <v>5818</v>
      </c>
      <c r="D520" t="s">
        <v>5819</v>
      </c>
      <c r="E520" t="s">
        <v>5820</v>
      </c>
      <c r="G520" t="s">
        <v>5818</v>
      </c>
      <c r="H520" t="s">
        <v>1520</v>
      </c>
      <c r="J520" t="s">
        <v>5821</v>
      </c>
      <c r="L520" t="s">
        <v>79</v>
      </c>
      <c r="M520" t="s">
        <v>72</v>
      </c>
      <c r="R520" t="s">
        <v>5822</v>
      </c>
      <c r="W520" t="s">
        <v>5820</v>
      </c>
      <c r="X520" t="s">
        <v>295</v>
      </c>
      <c r="Y520" t="s">
        <v>117</v>
      </c>
      <c r="Z520" t="s">
        <v>73</v>
      </c>
      <c r="AA520" t="str">
        <f>"14215-3021"</f>
        <v>14215-3021</v>
      </c>
      <c r="AB520" t="s">
        <v>74</v>
      </c>
      <c r="AC520" t="s">
        <v>75</v>
      </c>
      <c r="AD520" t="s">
        <v>72</v>
      </c>
      <c r="AE520" t="s">
        <v>76</v>
      </c>
      <c r="AF520" t="s">
        <v>3974</v>
      </c>
      <c r="AG520" t="s">
        <v>77</v>
      </c>
    </row>
    <row r="521" spans="1:33" x14ac:dyDescent="0.25">
      <c r="A521" t="str">
        <f>"1598751547"</f>
        <v>1598751547</v>
      </c>
      <c r="B521" t="str">
        <f>"01743920"</f>
        <v>01743920</v>
      </c>
      <c r="C521" t="s">
        <v>5823</v>
      </c>
      <c r="D521" t="s">
        <v>5824</v>
      </c>
      <c r="E521" t="s">
        <v>5825</v>
      </c>
      <c r="G521" t="s">
        <v>4768</v>
      </c>
      <c r="H521" t="s">
        <v>4769</v>
      </c>
      <c r="J521" t="s">
        <v>4770</v>
      </c>
      <c r="L521" t="s">
        <v>1826</v>
      </c>
      <c r="M521" t="s">
        <v>72</v>
      </c>
      <c r="R521" t="s">
        <v>5826</v>
      </c>
      <c r="W521" t="s">
        <v>5827</v>
      </c>
      <c r="X521" t="s">
        <v>301</v>
      </c>
      <c r="Y521" t="s">
        <v>117</v>
      </c>
      <c r="Z521" t="s">
        <v>73</v>
      </c>
      <c r="AA521" t="str">
        <f>"14214-2648"</f>
        <v>14214-2648</v>
      </c>
      <c r="AB521" t="s">
        <v>83</v>
      </c>
      <c r="AC521" t="s">
        <v>75</v>
      </c>
      <c r="AD521" t="s">
        <v>72</v>
      </c>
      <c r="AE521" t="s">
        <v>76</v>
      </c>
      <c r="AF521" t="s">
        <v>4078</v>
      </c>
      <c r="AG521" t="s">
        <v>77</v>
      </c>
    </row>
    <row r="522" spans="1:33" x14ac:dyDescent="0.25">
      <c r="A522" t="str">
        <f>"1609044866"</f>
        <v>1609044866</v>
      </c>
      <c r="B522" t="str">
        <f>"03529908"</f>
        <v>03529908</v>
      </c>
      <c r="C522" t="s">
        <v>5828</v>
      </c>
      <c r="D522" t="s">
        <v>1427</v>
      </c>
      <c r="E522" t="s">
        <v>1428</v>
      </c>
      <c r="G522" t="s">
        <v>396</v>
      </c>
      <c r="H522" t="s">
        <v>397</v>
      </c>
      <c r="J522" t="s">
        <v>398</v>
      </c>
      <c r="L522" t="s">
        <v>92</v>
      </c>
      <c r="M522" t="s">
        <v>72</v>
      </c>
      <c r="R522" t="s">
        <v>1429</v>
      </c>
      <c r="W522" t="s">
        <v>1428</v>
      </c>
      <c r="X522" t="s">
        <v>486</v>
      </c>
      <c r="Y522" t="s">
        <v>311</v>
      </c>
      <c r="Z522" t="s">
        <v>73</v>
      </c>
      <c r="AA522" t="str">
        <f>"14569-1326"</f>
        <v>14569-1326</v>
      </c>
      <c r="AB522" t="s">
        <v>105</v>
      </c>
      <c r="AC522" t="s">
        <v>75</v>
      </c>
      <c r="AD522" t="s">
        <v>72</v>
      </c>
      <c r="AE522" t="s">
        <v>76</v>
      </c>
      <c r="AG522" t="s">
        <v>77</v>
      </c>
    </row>
    <row r="523" spans="1:33" x14ac:dyDescent="0.25">
      <c r="A523" t="str">
        <f>"1558332502"</f>
        <v>1558332502</v>
      </c>
      <c r="B523" t="str">
        <f>"02077012"</f>
        <v>02077012</v>
      </c>
      <c r="C523" t="s">
        <v>5829</v>
      </c>
      <c r="D523" t="s">
        <v>1464</v>
      </c>
      <c r="E523" t="s">
        <v>1465</v>
      </c>
      <c r="G523" t="s">
        <v>396</v>
      </c>
      <c r="H523" t="s">
        <v>397</v>
      </c>
      <c r="J523" t="s">
        <v>398</v>
      </c>
      <c r="L523" t="s">
        <v>71</v>
      </c>
      <c r="M523" t="s">
        <v>81</v>
      </c>
      <c r="R523" t="s">
        <v>1465</v>
      </c>
      <c r="W523" t="s">
        <v>1465</v>
      </c>
      <c r="X523" t="s">
        <v>1466</v>
      </c>
      <c r="Y523" t="s">
        <v>1467</v>
      </c>
      <c r="Z523" t="s">
        <v>73</v>
      </c>
      <c r="AA523" t="str">
        <f>"14772-9708"</f>
        <v>14772-9708</v>
      </c>
      <c r="AB523" t="s">
        <v>74</v>
      </c>
      <c r="AC523" t="s">
        <v>75</v>
      </c>
      <c r="AD523" t="s">
        <v>72</v>
      </c>
      <c r="AE523" t="s">
        <v>76</v>
      </c>
      <c r="AF523" t="s">
        <v>4043</v>
      </c>
      <c r="AG523" t="s">
        <v>77</v>
      </c>
    </row>
    <row r="524" spans="1:33" x14ac:dyDescent="0.25">
      <c r="A524" t="str">
        <f>"1356535454"</f>
        <v>1356535454</v>
      </c>
      <c r="C524" t="s">
        <v>5830</v>
      </c>
      <c r="G524" t="s">
        <v>396</v>
      </c>
      <c r="H524" t="s">
        <v>397</v>
      </c>
      <c r="J524" t="s">
        <v>398</v>
      </c>
      <c r="K524" t="s">
        <v>89</v>
      </c>
      <c r="L524" t="s">
        <v>92</v>
      </c>
      <c r="M524" t="s">
        <v>72</v>
      </c>
      <c r="R524" t="s">
        <v>2653</v>
      </c>
      <c r="S524" t="s">
        <v>1870</v>
      </c>
      <c r="T524" t="s">
        <v>117</v>
      </c>
      <c r="U524" t="s">
        <v>73</v>
      </c>
      <c r="V524" t="str">
        <f>"142091912"</f>
        <v>142091912</v>
      </c>
      <c r="AC524" t="s">
        <v>75</v>
      </c>
      <c r="AD524" t="s">
        <v>72</v>
      </c>
      <c r="AE524" t="s">
        <v>93</v>
      </c>
      <c r="AF524" t="s">
        <v>4043</v>
      </c>
      <c r="AG524" t="s">
        <v>77</v>
      </c>
    </row>
    <row r="525" spans="1:33" x14ac:dyDescent="0.25">
      <c r="A525" t="str">
        <f>"1851633275"</f>
        <v>1851633275</v>
      </c>
      <c r="B525" t="str">
        <f>"03791577"</f>
        <v>03791577</v>
      </c>
      <c r="C525" t="s">
        <v>5831</v>
      </c>
      <c r="D525" t="s">
        <v>5832</v>
      </c>
      <c r="E525" t="s">
        <v>5833</v>
      </c>
      <c r="L525" t="s">
        <v>71</v>
      </c>
      <c r="M525" t="s">
        <v>72</v>
      </c>
      <c r="R525" t="s">
        <v>5834</v>
      </c>
      <c r="W525" t="s">
        <v>5834</v>
      </c>
      <c r="X525" t="s">
        <v>393</v>
      </c>
      <c r="Y525" t="s">
        <v>228</v>
      </c>
      <c r="Z525" t="s">
        <v>73</v>
      </c>
      <c r="AA525" t="str">
        <f>"14226-1727"</f>
        <v>14226-1727</v>
      </c>
      <c r="AB525" t="s">
        <v>74</v>
      </c>
      <c r="AC525" t="s">
        <v>75</v>
      </c>
      <c r="AD525" t="s">
        <v>72</v>
      </c>
      <c r="AE525" t="s">
        <v>76</v>
      </c>
      <c r="AF525" t="s">
        <v>4043</v>
      </c>
      <c r="AG525" t="s">
        <v>77</v>
      </c>
    </row>
    <row r="526" spans="1:33" x14ac:dyDescent="0.25">
      <c r="A526" t="str">
        <f>"1134195886"</f>
        <v>1134195886</v>
      </c>
      <c r="B526" t="str">
        <f>"01286093"</f>
        <v>01286093</v>
      </c>
      <c r="C526" t="s">
        <v>5835</v>
      </c>
      <c r="D526" t="s">
        <v>5836</v>
      </c>
      <c r="E526" t="s">
        <v>5837</v>
      </c>
      <c r="L526" t="s">
        <v>80</v>
      </c>
      <c r="M526" t="s">
        <v>72</v>
      </c>
      <c r="R526" t="s">
        <v>5838</v>
      </c>
      <c r="W526" t="s">
        <v>5839</v>
      </c>
      <c r="X526" t="s">
        <v>5840</v>
      </c>
      <c r="Y526" t="s">
        <v>117</v>
      </c>
      <c r="Z526" t="s">
        <v>73</v>
      </c>
      <c r="AA526" t="str">
        <f>"14216-1721"</f>
        <v>14216-1721</v>
      </c>
      <c r="AB526" t="s">
        <v>74</v>
      </c>
      <c r="AC526" t="s">
        <v>75</v>
      </c>
      <c r="AD526" t="s">
        <v>72</v>
      </c>
      <c r="AE526" t="s">
        <v>76</v>
      </c>
      <c r="AF526" t="s">
        <v>4431</v>
      </c>
      <c r="AG526" t="s">
        <v>77</v>
      </c>
    </row>
    <row r="527" spans="1:33" x14ac:dyDescent="0.25">
      <c r="A527" t="str">
        <f>"1407297856"</f>
        <v>1407297856</v>
      </c>
      <c r="B527" t="str">
        <f>"03805603"</f>
        <v>03805603</v>
      </c>
      <c r="C527" t="s">
        <v>5841</v>
      </c>
      <c r="D527" t="s">
        <v>5842</v>
      </c>
      <c r="E527" t="s">
        <v>5843</v>
      </c>
      <c r="L527" t="s">
        <v>96</v>
      </c>
      <c r="M527" t="s">
        <v>72</v>
      </c>
      <c r="R527" t="s">
        <v>5844</v>
      </c>
      <c r="W527" t="s">
        <v>5845</v>
      </c>
      <c r="X527" t="s">
        <v>393</v>
      </c>
      <c r="Y527" t="s">
        <v>228</v>
      </c>
      <c r="Z527" t="s">
        <v>73</v>
      </c>
      <c r="AA527" t="str">
        <f>"14226-1727"</f>
        <v>14226-1727</v>
      </c>
      <c r="AB527" t="s">
        <v>74</v>
      </c>
      <c r="AC527" t="s">
        <v>75</v>
      </c>
      <c r="AD527" t="s">
        <v>72</v>
      </c>
      <c r="AE527" t="s">
        <v>76</v>
      </c>
      <c r="AF527" t="s">
        <v>4043</v>
      </c>
      <c r="AG527" t="s">
        <v>77</v>
      </c>
    </row>
    <row r="528" spans="1:33" x14ac:dyDescent="0.25">
      <c r="A528" t="str">
        <f>"1154387660"</f>
        <v>1154387660</v>
      </c>
      <c r="B528" t="str">
        <f>"02369015"</f>
        <v>02369015</v>
      </c>
      <c r="C528" t="s">
        <v>5846</v>
      </c>
      <c r="D528" t="s">
        <v>5847</v>
      </c>
      <c r="E528" t="s">
        <v>5848</v>
      </c>
      <c r="L528" t="s">
        <v>35</v>
      </c>
      <c r="M528" t="s">
        <v>72</v>
      </c>
      <c r="R528" t="s">
        <v>5849</v>
      </c>
      <c r="W528" t="s">
        <v>5848</v>
      </c>
      <c r="X528" t="s">
        <v>1563</v>
      </c>
      <c r="Y528" t="s">
        <v>228</v>
      </c>
      <c r="Z528" t="s">
        <v>73</v>
      </c>
      <c r="AA528" t="str">
        <f>"14226-5102"</f>
        <v>14226-5102</v>
      </c>
      <c r="AB528" t="s">
        <v>112</v>
      </c>
      <c r="AC528" t="s">
        <v>75</v>
      </c>
      <c r="AD528" t="s">
        <v>72</v>
      </c>
      <c r="AE528" t="s">
        <v>76</v>
      </c>
      <c r="AF528" t="s">
        <v>4043</v>
      </c>
      <c r="AG528" t="s">
        <v>77</v>
      </c>
    </row>
    <row r="529" spans="1:33" x14ac:dyDescent="0.25">
      <c r="A529" t="str">
        <f>"1538506993"</f>
        <v>1538506993</v>
      </c>
      <c r="B529" t="str">
        <f>"03808440"</f>
        <v>03808440</v>
      </c>
      <c r="C529" t="s">
        <v>5850</v>
      </c>
      <c r="D529" t="s">
        <v>5851</v>
      </c>
      <c r="E529" t="s">
        <v>5852</v>
      </c>
      <c r="L529" t="s">
        <v>71</v>
      </c>
      <c r="M529" t="s">
        <v>72</v>
      </c>
      <c r="R529" t="s">
        <v>5853</v>
      </c>
      <c r="W529" t="s">
        <v>5852</v>
      </c>
      <c r="X529" t="s">
        <v>2840</v>
      </c>
      <c r="Y529" t="s">
        <v>326</v>
      </c>
      <c r="Z529" t="s">
        <v>73</v>
      </c>
      <c r="AA529" t="str">
        <f>"14127-1577"</f>
        <v>14127-1577</v>
      </c>
      <c r="AB529" t="s">
        <v>74</v>
      </c>
      <c r="AC529" t="s">
        <v>75</v>
      </c>
      <c r="AD529" t="s">
        <v>72</v>
      </c>
      <c r="AE529" t="s">
        <v>76</v>
      </c>
      <c r="AF529" t="s">
        <v>4043</v>
      </c>
      <c r="AG529" t="s">
        <v>77</v>
      </c>
    </row>
    <row r="530" spans="1:33" x14ac:dyDescent="0.25">
      <c r="A530" t="str">
        <f>"1780685800"</f>
        <v>1780685800</v>
      </c>
      <c r="B530" t="str">
        <f>"02505719"</f>
        <v>02505719</v>
      </c>
      <c r="C530" t="s">
        <v>5854</v>
      </c>
      <c r="D530" t="s">
        <v>5855</v>
      </c>
      <c r="E530" t="s">
        <v>5856</v>
      </c>
      <c r="L530" t="s">
        <v>71</v>
      </c>
      <c r="M530" t="s">
        <v>72</v>
      </c>
      <c r="R530" t="s">
        <v>5857</v>
      </c>
      <c r="W530" t="s">
        <v>5858</v>
      </c>
      <c r="X530" t="s">
        <v>5856</v>
      </c>
      <c r="Y530" t="s">
        <v>237</v>
      </c>
      <c r="Z530" t="s">
        <v>73</v>
      </c>
      <c r="AA530" t="str">
        <f>"14224-3444"</f>
        <v>14224-3444</v>
      </c>
      <c r="AB530" t="s">
        <v>74</v>
      </c>
      <c r="AC530" t="s">
        <v>75</v>
      </c>
      <c r="AD530" t="s">
        <v>72</v>
      </c>
      <c r="AE530" t="s">
        <v>76</v>
      </c>
      <c r="AF530" t="s">
        <v>3974</v>
      </c>
      <c r="AG530" t="s">
        <v>77</v>
      </c>
    </row>
    <row r="531" spans="1:33" x14ac:dyDescent="0.25">
      <c r="A531" t="str">
        <f>"1912327560"</f>
        <v>1912327560</v>
      </c>
      <c r="B531" t="str">
        <f>"03880944"</f>
        <v>03880944</v>
      </c>
      <c r="C531" t="s">
        <v>5859</v>
      </c>
      <c r="D531" t="s">
        <v>5860</v>
      </c>
      <c r="E531" t="s">
        <v>5861</v>
      </c>
      <c r="L531" t="s">
        <v>79</v>
      </c>
      <c r="M531" t="s">
        <v>72</v>
      </c>
      <c r="R531" t="s">
        <v>5862</v>
      </c>
      <c r="W531" t="s">
        <v>5861</v>
      </c>
      <c r="X531" t="s">
        <v>5863</v>
      </c>
      <c r="Y531" t="s">
        <v>326</v>
      </c>
      <c r="Z531" t="s">
        <v>73</v>
      </c>
      <c r="AA531" t="str">
        <f>"14127-1239"</f>
        <v>14127-1239</v>
      </c>
      <c r="AB531" t="s">
        <v>74</v>
      </c>
      <c r="AC531" t="s">
        <v>75</v>
      </c>
      <c r="AD531" t="s">
        <v>72</v>
      </c>
      <c r="AE531" t="s">
        <v>76</v>
      </c>
      <c r="AF531" t="s">
        <v>3961</v>
      </c>
      <c r="AG531" t="s">
        <v>77</v>
      </c>
    </row>
    <row r="532" spans="1:33" x14ac:dyDescent="0.25">
      <c r="A532" t="str">
        <f>"1972568285"</f>
        <v>1972568285</v>
      </c>
      <c r="B532" t="str">
        <f>"02343300"</f>
        <v>02343300</v>
      </c>
      <c r="C532" t="s">
        <v>5864</v>
      </c>
      <c r="D532" t="s">
        <v>5865</v>
      </c>
      <c r="E532" t="s">
        <v>5866</v>
      </c>
      <c r="L532" t="s">
        <v>71</v>
      </c>
      <c r="M532" t="s">
        <v>72</v>
      </c>
      <c r="R532" t="s">
        <v>5867</v>
      </c>
      <c r="W532" t="s">
        <v>5866</v>
      </c>
      <c r="X532" t="s">
        <v>839</v>
      </c>
      <c r="Y532" t="s">
        <v>237</v>
      </c>
      <c r="Z532" t="s">
        <v>73</v>
      </c>
      <c r="AA532" t="str">
        <f>"14224-3400"</f>
        <v>14224-3400</v>
      </c>
      <c r="AB532" t="s">
        <v>74</v>
      </c>
      <c r="AC532" t="s">
        <v>75</v>
      </c>
      <c r="AD532" t="s">
        <v>72</v>
      </c>
      <c r="AE532" t="s">
        <v>76</v>
      </c>
      <c r="AF532" t="s">
        <v>3974</v>
      </c>
      <c r="AG532" t="s">
        <v>77</v>
      </c>
    </row>
    <row r="533" spans="1:33" x14ac:dyDescent="0.25">
      <c r="A533" t="str">
        <f>"1710311923"</f>
        <v>1710311923</v>
      </c>
      <c r="B533" t="str">
        <f>"03792514"</f>
        <v>03792514</v>
      </c>
      <c r="C533" t="s">
        <v>5868</v>
      </c>
      <c r="D533" t="s">
        <v>5869</v>
      </c>
      <c r="E533" t="s">
        <v>5870</v>
      </c>
      <c r="L533" t="s">
        <v>79</v>
      </c>
      <c r="M533" t="s">
        <v>72</v>
      </c>
      <c r="R533" t="s">
        <v>5870</v>
      </c>
      <c r="W533" t="s">
        <v>5870</v>
      </c>
      <c r="X533" t="s">
        <v>502</v>
      </c>
      <c r="Y533" t="s">
        <v>503</v>
      </c>
      <c r="Z533" t="s">
        <v>73</v>
      </c>
      <c r="AA533" t="str">
        <f>"14009-1113"</f>
        <v>14009-1113</v>
      </c>
      <c r="AB533" t="s">
        <v>74</v>
      </c>
      <c r="AC533" t="s">
        <v>75</v>
      </c>
      <c r="AD533" t="s">
        <v>72</v>
      </c>
      <c r="AE533" t="s">
        <v>76</v>
      </c>
      <c r="AF533" t="s">
        <v>3974</v>
      </c>
      <c r="AG533" t="s">
        <v>77</v>
      </c>
    </row>
    <row r="534" spans="1:33" x14ac:dyDescent="0.25">
      <c r="A534" t="str">
        <f>"1841502887"</f>
        <v>1841502887</v>
      </c>
      <c r="B534" t="str">
        <f>"03264688"</f>
        <v>03264688</v>
      </c>
      <c r="C534" t="s">
        <v>5871</v>
      </c>
      <c r="D534" t="s">
        <v>5872</v>
      </c>
      <c r="E534" t="s">
        <v>5873</v>
      </c>
      <c r="L534" t="s">
        <v>71</v>
      </c>
      <c r="M534" t="s">
        <v>72</v>
      </c>
      <c r="R534" t="s">
        <v>5874</v>
      </c>
      <c r="W534" t="s">
        <v>5875</v>
      </c>
      <c r="X534" t="s">
        <v>293</v>
      </c>
      <c r="Y534" t="s">
        <v>240</v>
      </c>
      <c r="Z534" t="s">
        <v>73</v>
      </c>
      <c r="AA534" t="str">
        <f>"14094-5370"</f>
        <v>14094-5370</v>
      </c>
      <c r="AB534" t="s">
        <v>74</v>
      </c>
      <c r="AC534" t="s">
        <v>75</v>
      </c>
      <c r="AD534" t="s">
        <v>72</v>
      </c>
      <c r="AE534" t="s">
        <v>76</v>
      </c>
      <c r="AF534" t="s">
        <v>3974</v>
      </c>
      <c r="AG534" t="s">
        <v>77</v>
      </c>
    </row>
    <row r="535" spans="1:33" x14ac:dyDescent="0.25">
      <c r="A535" t="str">
        <f>"1912208984"</f>
        <v>1912208984</v>
      </c>
      <c r="B535" t="str">
        <f>"03503862"</f>
        <v>03503862</v>
      </c>
      <c r="C535" t="s">
        <v>5876</v>
      </c>
      <c r="D535" t="s">
        <v>5877</v>
      </c>
      <c r="E535" t="s">
        <v>5878</v>
      </c>
      <c r="L535" t="s">
        <v>80</v>
      </c>
      <c r="M535" t="s">
        <v>72</v>
      </c>
      <c r="R535" t="s">
        <v>5879</v>
      </c>
      <c r="W535" t="s">
        <v>5878</v>
      </c>
      <c r="X535" t="s">
        <v>478</v>
      </c>
      <c r="Y535" t="s">
        <v>479</v>
      </c>
      <c r="Z535" t="s">
        <v>73</v>
      </c>
      <c r="AA535" t="str">
        <f>"14141-1443"</f>
        <v>14141-1443</v>
      </c>
      <c r="AB535" t="s">
        <v>74</v>
      </c>
      <c r="AC535" t="s">
        <v>75</v>
      </c>
      <c r="AD535" t="s">
        <v>72</v>
      </c>
      <c r="AE535" t="s">
        <v>76</v>
      </c>
      <c r="AF535" t="s">
        <v>3961</v>
      </c>
      <c r="AG535" t="s">
        <v>77</v>
      </c>
    </row>
    <row r="536" spans="1:33" x14ac:dyDescent="0.25">
      <c r="A536" t="str">
        <f>"1518218429"</f>
        <v>1518218429</v>
      </c>
      <c r="B536" t="str">
        <f>"03506952"</f>
        <v>03506952</v>
      </c>
      <c r="C536" t="s">
        <v>5880</v>
      </c>
      <c r="D536" t="s">
        <v>5881</v>
      </c>
      <c r="E536" t="s">
        <v>5882</v>
      </c>
      <c r="L536" t="s">
        <v>80</v>
      </c>
      <c r="M536" t="s">
        <v>72</v>
      </c>
      <c r="R536" t="s">
        <v>5883</v>
      </c>
      <c r="W536" t="s">
        <v>5882</v>
      </c>
      <c r="X536" t="s">
        <v>5884</v>
      </c>
      <c r="Y536" t="s">
        <v>326</v>
      </c>
      <c r="Z536" t="s">
        <v>73</v>
      </c>
      <c r="AA536" t="str">
        <f>"14127-1705"</f>
        <v>14127-1705</v>
      </c>
      <c r="AB536" t="s">
        <v>74</v>
      </c>
      <c r="AC536" t="s">
        <v>75</v>
      </c>
      <c r="AD536" t="s">
        <v>72</v>
      </c>
      <c r="AE536" t="s">
        <v>76</v>
      </c>
      <c r="AF536" t="s">
        <v>3961</v>
      </c>
      <c r="AG536" t="s">
        <v>77</v>
      </c>
    </row>
    <row r="537" spans="1:33" x14ac:dyDescent="0.25">
      <c r="A537" t="str">
        <f>"1679530208"</f>
        <v>1679530208</v>
      </c>
      <c r="B537" t="str">
        <f>"01913175"</f>
        <v>01913175</v>
      </c>
      <c r="C537" t="s">
        <v>5885</v>
      </c>
      <c r="D537" t="s">
        <v>5886</v>
      </c>
      <c r="E537" t="s">
        <v>5887</v>
      </c>
      <c r="L537" t="s">
        <v>80</v>
      </c>
      <c r="M537" t="s">
        <v>72</v>
      </c>
      <c r="R537" t="s">
        <v>5888</v>
      </c>
      <c r="W537" t="s">
        <v>5887</v>
      </c>
      <c r="X537" t="s">
        <v>5889</v>
      </c>
      <c r="Y537" t="s">
        <v>117</v>
      </c>
      <c r="Z537" t="s">
        <v>73</v>
      </c>
      <c r="AA537" t="str">
        <f>"14211-2639"</f>
        <v>14211-2639</v>
      </c>
      <c r="AB537" t="s">
        <v>74</v>
      </c>
      <c r="AC537" t="s">
        <v>75</v>
      </c>
      <c r="AD537" t="s">
        <v>72</v>
      </c>
      <c r="AE537" t="s">
        <v>76</v>
      </c>
      <c r="AF537" t="s">
        <v>4431</v>
      </c>
      <c r="AG537" t="s">
        <v>77</v>
      </c>
    </row>
    <row r="538" spans="1:33" x14ac:dyDescent="0.25">
      <c r="A538" t="str">
        <f>"1326021940"</f>
        <v>1326021940</v>
      </c>
      <c r="B538" t="str">
        <f>"01481832"</f>
        <v>01481832</v>
      </c>
      <c r="C538" t="s">
        <v>5890</v>
      </c>
      <c r="D538" t="s">
        <v>5891</v>
      </c>
      <c r="E538" t="s">
        <v>5892</v>
      </c>
      <c r="L538" t="s">
        <v>71</v>
      </c>
      <c r="M538" t="s">
        <v>72</v>
      </c>
      <c r="R538" t="s">
        <v>351</v>
      </c>
      <c r="W538" t="s">
        <v>5892</v>
      </c>
      <c r="X538" t="s">
        <v>2141</v>
      </c>
      <c r="Y538" t="s">
        <v>228</v>
      </c>
      <c r="Z538" t="s">
        <v>73</v>
      </c>
      <c r="AA538" t="str">
        <f>"14226-1718"</f>
        <v>14226-1718</v>
      </c>
      <c r="AB538" t="s">
        <v>74</v>
      </c>
      <c r="AC538" t="s">
        <v>75</v>
      </c>
      <c r="AD538" t="s">
        <v>72</v>
      </c>
      <c r="AE538" t="s">
        <v>76</v>
      </c>
      <c r="AF538" t="s">
        <v>4043</v>
      </c>
      <c r="AG538" t="s">
        <v>77</v>
      </c>
    </row>
    <row r="539" spans="1:33" x14ac:dyDescent="0.25">
      <c r="A539" t="str">
        <f>"1225093057"</f>
        <v>1225093057</v>
      </c>
      <c r="B539" t="str">
        <f>"02505833"</f>
        <v>02505833</v>
      </c>
      <c r="C539" t="s">
        <v>5893</v>
      </c>
      <c r="D539" t="s">
        <v>5894</v>
      </c>
      <c r="E539" t="s">
        <v>5895</v>
      </c>
      <c r="L539" t="s">
        <v>80</v>
      </c>
      <c r="M539" t="s">
        <v>72</v>
      </c>
      <c r="R539" t="s">
        <v>5896</v>
      </c>
      <c r="W539" t="s">
        <v>5895</v>
      </c>
      <c r="X539" t="s">
        <v>5840</v>
      </c>
      <c r="Y539" t="s">
        <v>117</v>
      </c>
      <c r="Z539" t="s">
        <v>73</v>
      </c>
      <c r="AA539" t="str">
        <f>"14216-1721"</f>
        <v>14216-1721</v>
      </c>
      <c r="AB539" t="s">
        <v>74</v>
      </c>
      <c r="AC539" t="s">
        <v>75</v>
      </c>
      <c r="AD539" t="s">
        <v>72</v>
      </c>
      <c r="AE539" t="s">
        <v>76</v>
      </c>
      <c r="AF539" t="s">
        <v>3974</v>
      </c>
      <c r="AG539" t="s">
        <v>77</v>
      </c>
    </row>
    <row r="540" spans="1:33" x14ac:dyDescent="0.25">
      <c r="A540" t="str">
        <f>"1437412111"</f>
        <v>1437412111</v>
      </c>
      <c r="B540" t="str">
        <f>"03485710"</f>
        <v>03485710</v>
      </c>
      <c r="C540" t="s">
        <v>5897</v>
      </c>
      <c r="D540" t="s">
        <v>1246</v>
      </c>
      <c r="E540" t="s">
        <v>1247</v>
      </c>
      <c r="L540" t="s">
        <v>71</v>
      </c>
      <c r="M540" t="s">
        <v>72</v>
      </c>
      <c r="R540" t="s">
        <v>1248</v>
      </c>
      <c r="W540" t="s">
        <v>1247</v>
      </c>
      <c r="X540" t="s">
        <v>656</v>
      </c>
      <c r="Y540" t="s">
        <v>221</v>
      </c>
      <c r="Z540" t="s">
        <v>73</v>
      </c>
      <c r="AA540" t="str">
        <f>"14221-5258"</f>
        <v>14221-5258</v>
      </c>
      <c r="AB540" t="s">
        <v>74</v>
      </c>
      <c r="AC540" t="s">
        <v>75</v>
      </c>
      <c r="AD540" t="s">
        <v>72</v>
      </c>
      <c r="AE540" t="s">
        <v>76</v>
      </c>
      <c r="AF540" t="s">
        <v>3974</v>
      </c>
      <c r="AG540" t="s">
        <v>77</v>
      </c>
    </row>
    <row r="541" spans="1:33" x14ac:dyDescent="0.25">
      <c r="A541" t="str">
        <f>"1063709632"</f>
        <v>1063709632</v>
      </c>
      <c r="B541" t="str">
        <f>"03391499"</f>
        <v>03391499</v>
      </c>
      <c r="C541" t="s">
        <v>5898</v>
      </c>
      <c r="D541" t="s">
        <v>5899</v>
      </c>
      <c r="E541" t="s">
        <v>5900</v>
      </c>
      <c r="L541" t="s">
        <v>71</v>
      </c>
      <c r="M541" t="s">
        <v>72</v>
      </c>
      <c r="R541" t="s">
        <v>5901</v>
      </c>
      <c r="W541" t="s">
        <v>5900</v>
      </c>
      <c r="X541" t="s">
        <v>5902</v>
      </c>
      <c r="Y541" t="s">
        <v>188</v>
      </c>
      <c r="Z541" t="s">
        <v>73</v>
      </c>
      <c r="AA541" t="str">
        <f>"14092-2149"</f>
        <v>14092-2149</v>
      </c>
      <c r="AB541" t="s">
        <v>74</v>
      </c>
      <c r="AC541" t="s">
        <v>75</v>
      </c>
      <c r="AD541" t="s">
        <v>72</v>
      </c>
      <c r="AE541" t="s">
        <v>76</v>
      </c>
      <c r="AF541" t="s">
        <v>4043</v>
      </c>
      <c r="AG541" t="s">
        <v>77</v>
      </c>
    </row>
    <row r="542" spans="1:33" x14ac:dyDescent="0.25">
      <c r="A542" t="str">
        <f>"1083726251"</f>
        <v>1083726251</v>
      </c>
      <c r="B542" t="str">
        <f>"02429330"</f>
        <v>02429330</v>
      </c>
      <c r="C542" t="s">
        <v>5903</v>
      </c>
      <c r="D542" t="s">
        <v>5904</v>
      </c>
      <c r="E542" t="s">
        <v>5905</v>
      </c>
      <c r="L542" t="s">
        <v>79</v>
      </c>
      <c r="M542" t="s">
        <v>72</v>
      </c>
      <c r="R542" t="s">
        <v>5906</v>
      </c>
      <c r="W542" t="s">
        <v>5905</v>
      </c>
      <c r="X542" t="s">
        <v>1542</v>
      </c>
      <c r="Y542" t="s">
        <v>221</v>
      </c>
      <c r="Z542" t="s">
        <v>73</v>
      </c>
      <c r="AA542" t="str">
        <f>"14221-8216"</f>
        <v>14221-8216</v>
      </c>
      <c r="AB542" t="s">
        <v>74</v>
      </c>
      <c r="AC542" t="s">
        <v>75</v>
      </c>
      <c r="AD542" t="s">
        <v>72</v>
      </c>
      <c r="AE542" t="s">
        <v>76</v>
      </c>
      <c r="AF542" t="s">
        <v>3974</v>
      </c>
      <c r="AG542" t="s">
        <v>77</v>
      </c>
    </row>
    <row r="543" spans="1:33" x14ac:dyDescent="0.25">
      <c r="A543" t="str">
        <f>"1740445519"</f>
        <v>1740445519</v>
      </c>
      <c r="B543" t="str">
        <f>"03064697"</f>
        <v>03064697</v>
      </c>
      <c r="C543" t="s">
        <v>5907</v>
      </c>
      <c r="D543" t="s">
        <v>5908</v>
      </c>
      <c r="E543" t="s">
        <v>5909</v>
      </c>
      <c r="L543" t="s">
        <v>79</v>
      </c>
      <c r="M543" t="s">
        <v>72</v>
      </c>
      <c r="R543" t="s">
        <v>5910</v>
      </c>
      <c r="W543" t="s">
        <v>5911</v>
      </c>
      <c r="X543" t="s">
        <v>5912</v>
      </c>
      <c r="Y543" t="s">
        <v>242</v>
      </c>
      <c r="Z543" t="s">
        <v>73</v>
      </c>
      <c r="AA543" t="str">
        <f>"14701-6947"</f>
        <v>14701-6947</v>
      </c>
      <c r="AB543" t="s">
        <v>74</v>
      </c>
      <c r="AC543" t="s">
        <v>75</v>
      </c>
      <c r="AD543" t="s">
        <v>72</v>
      </c>
      <c r="AE543" t="s">
        <v>76</v>
      </c>
      <c r="AF543" t="s">
        <v>3974</v>
      </c>
      <c r="AG543" t="s">
        <v>77</v>
      </c>
    </row>
    <row r="544" spans="1:33" x14ac:dyDescent="0.25">
      <c r="A544" t="str">
        <f>"1841254281"</f>
        <v>1841254281</v>
      </c>
      <c r="B544" t="str">
        <f>"00599582"</f>
        <v>00599582</v>
      </c>
      <c r="C544" t="s">
        <v>5913</v>
      </c>
      <c r="D544" t="s">
        <v>5914</v>
      </c>
      <c r="E544" t="s">
        <v>5915</v>
      </c>
      <c r="G544" t="s">
        <v>5913</v>
      </c>
      <c r="H544" t="s">
        <v>5916</v>
      </c>
      <c r="J544" t="s">
        <v>5917</v>
      </c>
      <c r="L544" t="s">
        <v>71</v>
      </c>
      <c r="M544" t="s">
        <v>72</v>
      </c>
      <c r="R544" t="s">
        <v>5918</v>
      </c>
      <c r="W544" t="s">
        <v>5919</v>
      </c>
      <c r="X544" t="s">
        <v>246</v>
      </c>
      <c r="Y544" t="s">
        <v>247</v>
      </c>
      <c r="Z544" t="s">
        <v>73</v>
      </c>
      <c r="AA544" t="str">
        <f>"14225-4018"</f>
        <v>14225-4018</v>
      </c>
      <c r="AB544" t="s">
        <v>74</v>
      </c>
      <c r="AC544" t="s">
        <v>75</v>
      </c>
      <c r="AD544" t="s">
        <v>72</v>
      </c>
      <c r="AE544" t="s">
        <v>76</v>
      </c>
      <c r="AF544" t="s">
        <v>3961</v>
      </c>
      <c r="AG544" t="s">
        <v>77</v>
      </c>
    </row>
    <row r="545" spans="1:33" x14ac:dyDescent="0.25">
      <c r="A545" t="str">
        <f>"1235115957"</f>
        <v>1235115957</v>
      </c>
      <c r="B545" t="str">
        <f>"02161773"</f>
        <v>02161773</v>
      </c>
      <c r="C545" t="s">
        <v>5920</v>
      </c>
      <c r="D545" t="s">
        <v>2710</v>
      </c>
      <c r="E545" t="s">
        <v>2711</v>
      </c>
      <c r="G545" t="s">
        <v>5001</v>
      </c>
      <c r="H545" t="s">
        <v>640</v>
      </c>
      <c r="J545" t="s">
        <v>5002</v>
      </c>
      <c r="L545" t="s">
        <v>80</v>
      </c>
      <c r="M545" t="s">
        <v>72</v>
      </c>
      <c r="R545" t="s">
        <v>2712</v>
      </c>
      <c r="W545" t="s">
        <v>2713</v>
      </c>
      <c r="X545" t="s">
        <v>2714</v>
      </c>
      <c r="Y545" t="s">
        <v>117</v>
      </c>
      <c r="Z545" t="s">
        <v>73</v>
      </c>
      <c r="AA545" t="str">
        <f>"14209-1684"</f>
        <v>14209-1684</v>
      </c>
      <c r="AB545" t="s">
        <v>74</v>
      </c>
      <c r="AC545" t="s">
        <v>75</v>
      </c>
      <c r="AD545" t="s">
        <v>72</v>
      </c>
      <c r="AE545" t="s">
        <v>76</v>
      </c>
      <c r="AF545" t="s">
        <v>3961</v>
      </c>
      <c r="AG545" t="s">
        <v>77</v>
      </c>
    </row>
    <row r="546" spans="1:33" x14ac:dyDescent="0.25">
      <c r="A546" t="str">
        <f>"1205996980"</f>
        <v>1205996980</v>
      </c>
      <c r="B546" t="str">
        <f>"01479267"</f>
        <v>01479267</v>
      </c>
      <c r="C546" t="s">
        <v>5921</v>
      </c>
      <c r="D546" t="s">
        <v>5922</v>
      </c>
      <c r="E546" t="s">
        <v>5923</v>
      </c>
      <c r="G546" t="s">
        <v>5924</v>
      </c>
      <c r="H546" t="s">
        <v>5925</v>
      </c>
      <c r="J546" t="s">
        <v>5926</v>
      </c>
      <c r="L546" t="s">
        <v>79</v>
      </c>
      <c r="M546" t="s">
        <v>72</v>
      </c>
      <c r="R546" t="s">
        <v>178</v>
      </c>
      <c r="W546" t="s">
        <v>5923</v>
      </c>
      <c r="X546" t="s">
        <v>5927</v>
      </c>
      <c r="Y546" t="s">
        <v>237</v>
      </c>
      <c r="Z546" t="s">
        <v>73</v>
      </c>
      <c r="AA546" t="str">
        <f>"14224-3445"</f>
        <v>14224-3445</v>
      </c>
      <c r="AB546" t="s">
        <v>74</v>
      </c>
      <c r="AC546" t="s">
        <v>75</v>
      </c>
      <c r="AD546" t="s">
        <v>72</v>
      </c>
      <c r="AE546" t="s">
        <v>76</v>
      </c>
      <c r="AF546" t="s">
        <v>3974</v>
      </c>
      <c r="AG546" t="s">
        <v>77</v>
      </c>
    </row>
    <row r="547" spans="1:33" x14ac:dyDescent="0.25">
      <c r="A547" t="str">
        <f>"1063454908"</f>
        <v>1063454908</v>
      </c>
      <c r="B547" t="str">
        <f>"01477903"</f>
        <v>01477903</v>
      </c>
      <c r="C547" t="s">
        <v>5928</v>
      </c>
      <c r="D547" t="s">
        <v>5929</v>
      </c>
      <c r="E547" t="s">
        <v>5930</v>
      </c>
      <c r="G547" t="s">
        <v>5931</v>
      </c>
      <c r="H547" t="s">
        <v>5932</v>
      </c>
      <c r="J547" t="s">
        <v>5933</v>
      </c>
      <c r="L547" t="s">
        <v>79</v>
      </c>
      <c r="M547" t="s">
        <v>72</v>
      </c>
      <c r="R547" t="s">
        <v>5934</v>
      </c>
      <c r="W547" t="s">
        <v>5930</v>
      </c>
      <c r="X547" t="s">
        <v>1324</v>
      </c>
      <c r="Y547" t="s">
        <v>221</v>
      </c>
      <c r="Z547" t="s">
        <v>73</v>
      </c>
      <c r="AA547" t="str">
        <f>"14221-7800"</f>
        <v>14221-7800</v>
      </c>
      <c r="AB547" t="s">
        <v>74</v>
      </c>
      <c r="AC547" t="s">
        <v>75</v>
      </c>
      <c r="AD547" t="s">
        <v>72</v>
      </c>
      <c r="AE547" t="s">
        <v>76</v>
      </c>
      <c r="AF547" t="s">
        <v>3974</v>
      </c>
      <c r="AG547" t="s">
        <v>77</v>
      </c>
    </row>
    <row r="548" spans="1:33" x14ac:dyDescent="0.25">
      <c r="A548" t="str">
        <f>"1396773826"</f>
        <v>1396773826</v>
      </c>
      <c r="B548" t="str">
        <f>"01273569"</f>
        <v>01273569</v>
      </c>
      <c r="C548" t="s">
        <v>5935</v>
      </c>
      <c r="D548" t="s">
        <v>1206</v>
      </c>
      <c r="E548" t="s">
        <v>1207</v>
      </c>
      <c r="G548" t="s">
        <v>3969</v>
      </c>
      <c r="H548" t="s">
        <v>3970</v>
      </c>
      <c r="J548" t="s">
        <v>3971</v>
      </c>
      <c r="L548" t="s">
        <v>79</v>
      </c>
      <c r="M548" t="s">
        <v>72</v>
      </c>
      <c r="R548" t="s">
        <v>1208</v>
      </c>
      <c r="W548" t="s">
        <v>1207</v>
      </c>
      <c r="X548" t="s">
        <v>552</v>
      </c>
      <c r="Y548" t="s">
        <v>221</v>
      </c>
      <c r="Z548" t="s">
        <v>73</v>
      </c>
      <c r="AA548" t="str">
        <f>"14221-3698"</f>
        <v>14221-3698</v>
      </c>
      <c r="AB548" t="s">
        <v>74</v>
      </c>
      <c r="AC548" t="s">
        <v>75</v>
      </c>
      <c r="AD548" t="s">
        <v>72</v>
      </c>
      <c r="AE548" t="s">
        <v>76</v>
      </c>
      <c r="AF548" t="s">
        <v>3974</v>
      </c>
      <c r="AG548" t="s">
        <v>77</v>
      </c>
    </row>
    <row r="549" spans="1:33" x14ac:dyDescent="0.25">
      <c r="A549" t="str">
        <f>"1144278664"</f>
        <v>1144278664</v>
      </c>
      <c r="B549" t="str">
        <f>"02089605"</f>
        <v>02089605</v>
      </c>
      <c r="C549" t="s">
        <v>5936</v>
      </c>
      <c r="D549" t="s">
        <v>3770</v>
      </c>
      <c r="E549" t="s">
        <v>3771</v>
      </c>
      <c r="G549" t="s">
        <v>5937</v>
      </c>
      <c r="H549" t="s">
        <v>5938</v>
      </c>
      <c r="J549" t="s">
        <v>5939</v>
      </c>
      <c r="L549" t="s">
        <v>79</v>
      </c>
      <c r="M549" t="s">
        <v>72</v>
      </c>
      <c r="R549" t="s">
        <v>3772</v>
      </c>
      <c r="W549" t="s">
        <v>3771</v>
      </c>
      <c r="X549" t="s">
        <v>181</v>
      </c>
      <c r="Y549" t="s">
        <v>630</v>
      </c>
      <c r="Z549" t="s">
        <v>73</v>
      </c>
      <c r="AA549" t="str">
        <f>"14043-4884"</f>
        <v>14043-4884</v>
      </c>
      <c r="AB549" t="s">
        <v>74</v>
      </c>
      <c r="AC549" t="s">
        <v>75</v>
      </c>
      <c r="AD549" t="s">
        <v>72</v>
      </c>
      <c r="AE549" t="s">
        <v>76</v>
      </c>
      <c r="AF549" t="s">
        <v>3974</v>
      </c>
      <c r="AG549" t="s">
        <v>77</v>
      </c>
    </row>
    <row r="550" spans="1:33" x14ac:dyDescent="0.25">
      <c r="A550" t="str">
        <f>"1649461401"</f>
        <v>1649461401</v>
      </c>
      <c r="B550" t="str">
        <f>"02902550"</f>
        <v>02902550</v>
      </c>
      <c r="C550" t="s">
        <v>5940</v>
      </c>
      <c r="D550" t="s">
        <v>1539</v>
      </c>
      <c r="E550" t="s">
        <v>1540</v>
      </c>
      <c r="G550" t="s">
        <v>5941</v>
      </c>
      <c r="H550" t="s">
        <v>617</v>
      </c>
      <c r="J550" t="s">
        <v>5942</v>
      </c>
      <c r="L550" t="s">
        <v>79</v>
      </c>
      <c r="M550" t="s">
        <v>72</v>
      </c>
      <c r="R550" t="s">
        <v>1541</v>
      </c>
      <c r="W550" t="s">
        <v>1540</v>
      </c>
      <c r="X550" t="s">
        <v>619</v>
      </c>
      <c r="Y550" t="s">
        <v>221</v>
      </c>
      <c r="Z550" t="s">
        <v>73</v>
      </c>
      <c r="AA550" t="str">
        <f>"14221-8024"</f>
        <v>14221-8024</v>
      </c>
      <c r="AB550" t="s">
        <v>74</v>
      </c>
      <c r="AC550" t="s">
        <v>75</v>
      </c>
      <c r="AD550" t="s">
        <v>72</v>
      </c>
      <c r="AE550" t="s">
        <v>76</v>
      </c>
      <c r="AF550" t="s">
        <v>3974</v>
      </c>
      <c r="AG550" t="s">
        <v>77</v>
      </c>
    </row>
    <row r="551" spans="1:33" x14ac:dyDescent="0.25">
      <c r="A551" t="str">
        <f>"1477534741"</f>
        <v>1477534741</v>
      </c>
      <c r="B551" t="str">
        <f>"01210604"</f>
        <v>01210604</v>
      </c>
      <c r="C551" t="s">
        <v>5943</v>
      </c>
      <c r="D551" t="s">
        <v>5944</v>
      </c>
      <c r="E551" t="s">
        <v>5945</v>
      </c>
      <c r="G551" t="s">
        <v>5946</v>
      </c>
      <c r="H551" t="s">
        <v>5947</v>
      </c>
      <c r="J551" t="s">
        <v>5948</v>
      </c>
      <c r="L551" t="s">
        <v>79</v>
      </c>
      <c r="M551" t="s">
        <v>72</v>
      </c>
      <c r="R551" t="s">
        <v>5949</v>
      </c>
      <c r="W551" t="s">
        <v>5945</v>
      </c>
      <c r="X551" t="s">
        <v>5950</v>
      </c>
      <c r="Y551" t="s">
        <v>188</v>
      </c>
      <c r="Z551" t="s">
        <v>73</v>
      </c>
      <c r="AA551" t="str">
        <f>"14092-1903"</f>
        <v>14092-1903</v>
      </c>
      <c r="AB551" t="s">
        <v>74</v>
      </c>
      <c r="AC551" t="s">
        <v>75</v>
      </c>
      <c r="AD551" t="s">
        <v>72</v>
      </c>
      <c r="AE551" t="s">
        <v>76</v>
      </c>
      <c r="AF551" t="s">
        <v>3974</v>
      </c>
      <c r="AG551" t="s">
        <v>77</v>
      </c>
    </row>
    <row r="552" spans="1:33" x14ac:dyDescent="0.25">
      <c r="A552" t="str">
        <f>"1124061320"</f>
        <v>1124061320</v>
      </c>
      <c r="B552" t="str">
        <f>"01842671"</f>
        <v>01842671</v>
      </c>
      <c r="C552" t="s">
        <v>5951</v>
      </c>
      <c r="D552" t="s">
        <v>5952</v>
      </c>
      <c r="E552" t="s">
        <v>5953</v>
      </c>
      <c r="G552" t="s">
        <v>5156</v>
      </c>
      <c r="H552" t="s">
        <v>1927</v>
      </c>
      <c r="J552" t="s">
        <v>5157</v>
      </c>
      <c r="L552" t="s">
        <v>80</v>
      </c>
      <c r="M552" t="s">
        <v>72</v>
      </c>
      <c r="R552" t="s">
        <v>5954</v>
      </c>
      <c r="W552" t="s">
        <v>5953</v>
      </c>
      <c r="X552" t="s">
        <v>5955</v>
      </c>
      <c r="Y552" t="s">
        <v>237</v>
      </c>
      <c r="Z552" t="s">
        <v>73</v>
      </c>
      <c r="AA552" t="str">
        <f>"14224-3332"</f>
        <v>14224-3332</v>
      </c>
      <c r="AB552" t="s">
        <v>74</v>
      </c>
      <c r="AC552" t="s">
        <v>75</v>
      </c>
      <c r="AD552" t="s">
        <v>72</v>
      </c>
      <c r="AE552" t="s">
        <v>76</v>
      </c>
      <c r="AF552" t="s">
        <v>3961</v>
      </c>
      <c r="AG552" t="s">
        <v>77</v>
      </c>
    </row>
    <row r="553" spans="1:33" x14ac:dyDescent="0.25">
      <c r="A553" t="str">
        <f>"1730132366"</f>
        <v>1730132366</v>
      </c>
      <c r="B553" t="str">
        <f>"00592003"</f>
        <v>00592003</v>
      </c>
      <c r="C553" t="s">
        <v>5956</v>
      </c>
      <c r="D553" t="s">
        <v>5957</v>
      </c>
      <c r="E553" t="s">
        <v>5958</v>
      </c>
      <c r="G553" t="s">
        <v>5959</v>
      </c>
      <c r="H553" t="s">
        <v>5960</v>
      </c>
      <c r="J553" t="s">
        <v>5961</v>
      </c>
      <c r="L553" t="s">
        <v>80</v>
      </c>
      <c r="M553" t="s">
        <v>72</v>
      </c>
      <c r="R553" t="s">
        <v>5962</v>
      </c>
      <c r="W553" t="s">
        <v>5963</v>
      </c>
      <c r="X553" t="s">
        <v>3110</v>
      </c>
      <c r="Y553" t="s">
        <v>221</v>
      </c>
      <c r="Z553" t="s">
        <v>73</v>
      </c>
      <c r="AA553" t="str">
        <f>"14221-5967"</f>
        <v>14221-5967</v>
      </c>
      <c r="AB553" t="s">
        <v>74</v>
      </c>
      <c r="AC553" t="s">
        <v>75</v>
      </c>
      <c r="AD553" t="s">
        <v>72</v>
      </c>
      <c r="AE553" t="s">
        <v>76</v>
      </c>
      <c r="AF553" t="s">
        <v>3961</v>
      </c>
      <c r="AG553" t="s">
        <v>77</v>
      </c>
    </row>
    <row r="554" spans="1:33" x14ac:dyDescent="0.25">
      <c r="A554" t="str">
        <f>"1225180052"</f>
        <v>1225180052</v>
      </c>
      <c r="B554" t="str">
        <f>"00357855"</f>
        <v>00357855</v>
      </c>
      <c r="C554" t="s">
        <v>5964</v>
      </c>
      <c r="D554" t="s">
        <v>898</v>
      </c>
      <c r="E554" t="s">
        <v>899</v>
      </c>
      <c r="G554" t="s">
        <v>5965</v>
      </c>
      <c r="H554" t="s">
        <v>658</v>
      </c>
      <c r="J554" t="s">
        <v>5966</v>
      </c>
      <c r="L554" t="s">
        <v>95</v>
      </c>
      <c r="M554" t="s">
        <v>81</v>
      </c>
      <c r="R554" t="s">
        <v>897</v>
      </c>
      <c r="W554" t="s">
        <v>899</v>
      </c>
      <c r="X554" t="s">
        <v>900</v>
      </c>
      <c r="Y554" t="s">
        <v>117</v>
      </c>
      <c r="Z554" t="s">
        <v>73</v>
      </c>
      <c r="AA554" t="str">
        <f>"14214-1316"</f>
        <v>14214-1316</v>
      </c>
      <c r="AB554" t="s">
        <v>109</v>
      </c>
      <c r="AC554" t="s">
        <v>75</v>
      </c>
      <c r="AD554" t="s">
        <v>72</v>
      </c>
      <c r="AE554" t="s">
        <v>76</v>
      </c>
      <c r="AF554" t="s">
        <v>4059</v>
      </c>
      <c r="AG554" t="s">
        <v>77</v>
      </c>
    </row>
    <row r="555" spans="1:33" x14ac:dyDescent="0.25">
      <c r="A555" t="str">
        <f>"1316099146"</f>
        <v>1316099146</v>
      </c>
      <c r="B555" t="str">
        <f>"03002288"</f>
        <v>03002288</v>
      </c>
      <c r="C555" t="s">
        <v>5964</v>
      </c>
      <c r="D555" t="s">
        <v>898</v>
      </c>
      <c r="E555" t="s">
        <v>899</v>
      </c>
      <c r="G555" t="s">
        <v>5965</v>
      </c>
      <c r="H555" t="s">
        <v>658</v>
      </c>
      <c r="J555" t="s">
        <v>5966</v>
      </c>
      <c r="L555" t="s">
        <v>95</v>
      </c>
      <c r="M555" t="s">
        <v>81</v>
      </c>
      <c r="R555" t="s">
        <v>897</v>
      </c>
      <c r="W555" t="s">
        <v>899</v>
      </c>
      <c r="X555" t="s">
        <v>900</v>
      </c>
      <c r="Y555" t="s">
        <v>117</v>
      </c>
      <c r="Z555" t="s">
        <v>73</v>
      </c>
      <c r="AA555" t="str">
        <f>"14214-1316"</f>
        <v>14214-1316</v>
      </c>
      <c r="AB555" t="s">
        <v>109</v>
      </c>
      <c r="AC555" t="s">
        <v>75</v>
      </c>
      <c r="AD555" t="s">
        <v>72</v>
      </c>
      <c r="AE555" t="s">
        <v>76</v>
      </c>
      <c r="AF555" t="s">
        <v>4059</v>
      </c>
      <c r="AG555" t="s">
        <v>77</v>
      </c>
    </row>
    <row r="556" spans="1:33" x14ac:dyDescent="0.25">
      <c r="A556" t="str">
        <f>"1891832879"</f>
        <v>1891832879</v>
      </c>
      <c r="B556" t="str">
        <f>"00618786"</f>
        <v>00618786</v>
      </c>
      <c r="C556" t="s">
        <v>3576</v>
      </c>
      <c r="D556" t="s">
        <v>2106</v>
      </c>
      <c r="E556" t="s">
        <v>2107</v>
      </c>
      <c r="G556" t="s">
        <v>4081</v>
      </c>
      <c r="H556" t="s">
        <v>1078</v>
      </c>
      <c r="J556" t="s">
        <v>4082</v>
      </c>
      <c r="L556" t="s">
        <v>10</v>
      </c>
      <c r="M556" t="s">
        <v>72</v>
      </c>
      <c r="R556" t="s">
        <v>1593</v>
      </c>
      <c r="W556" t="s">
        <v>2107</v>
      </c>
      <c r="X556" t="s">
        <v>1519</v>
      </c>
      <c r="Y556" t="s">
        <v>240</v>
      </c>
      <c r="Z556" t="s">
        <v>73</v>
      </c>
      <c r="AA556" t="str">
        <f>"14094-1899"</f>
        <v>14094-1899</v>
      </c>
      <c r="AB556" t="s">
        <v>109</v>
      </c>
      <c r="AC556" t="s">
        <v>75</v>
      </c>
      <c r="AD556" t="s">
        <v>72</v>
      </c>
      <c r="AE556" t="s">
        <v>76</v>
      </c>
      <c r="AF556" t="s">
        <v>4879</v>
      </c>
      <c r="AG556" t="s">
        <v>77</v>
      </c>
    </row>
    <row r="557" spans="1:33" x14ac:dyDescent="0.25">
      <c r="A557" t="str">
        <f>"1841340569"</f>
        <v>1841340569</v>
      </c>
      <c r="B557" t="str">
        <f>"00618777"</f>
        <v>00618777</v>
      </c>
      <c r="C557" t="s">
        <v>3576</v>
      </c>
      <c r="D557" t="s">
        <v>3577</v>
      </c>
      <c r="E557" t="s">
        <v>3578</v>
      </c>
      <c r="G557" t="s">
        <v>4081</v>
      </c>
      <c r="H557" t="s">
        <v>2841</v>
      </c>
      <c r="J557" t="s">
        <v>4082</v>
      </c>
      <c r="L557" t="s">
        <v>95</v>
      </c>
      <c r="M557" t="s">
        <v>81</v>
      </c>
      <c r="R557" t="s">
        <v>1593</v>
      </c>
      <c r="W557" t="s">
        <v>3578</v>
      </c>
      <c r="X557" t="s">
        <v>3579</v>
      </c>
      <c r="Y557" t="s">
        <v>209</v>
      </c>
      <c r="Z557" t="s">
        <v>73</v>
      </c>
      <c r="AA557" t="str">
        <f>"14302-1201"</f>
        <v>14302-1201</v>
      </c>
      <c r="AB557" t="s">
        <v>109</v>
      </c>
      <c r="AC557" t="s">
        <v>75</v>
      </c>
      <c r="AD557" t="s">
        <v>72</v>
      </c>
      <c r="AE557" t="s">
        <v>76</v>
      </c>
      <c r="AF557" t="s">
        <v>4879</v>
      </c>
      <c r="AG557" t="s">
        <v>77</v>
      </c>
    </row>
    <row r="558" spans="1:33" x14ac:dyDescent="0.25">
      <c r="C558" t="s">
        <v>5967</v>
      </c>
      <c r="G558" t="s">
        <v>5968</v>
      </c>
      <c r="H558" t="s">
        <v>5969</v>
      </c>
      <c r="J558" t="s">
        <v>5970</v>
      </c>
      <c r="K558" t="s">
        <v>89</v>
      </c>
      <c r="L558" t="s">
        <v>90</v>
      </c>
      <c r="M558" t="s">
        <v>72</v>
      </c>
      <c r="N558" t="s">
        <v>5971</v>
      </c>
      <c r="O558" t="s">
        <v>5972</v>
      </c>
      <c r="P558" t="s">
        <v>73</v>
      </c>
      <c r="Q558" t="str">
        <f>"14109"</f>
        <v>14109</v>
      </c>
      <c r="AC558" t="s">
        <v>75</v>
      </c>
      <c r="AD558" t="s">
        <v>72</v>
      </c>
      <c r="AE558" t="s">
        <v>91</v>
      </c>
      <c r="AF558" t="s">
        <v>4078</v>
      </c>
      <c r="AG558" t="s">
        <v>77</v>
      </c>
    </row>
    <row r="559" spans="1:33" x14ac:dyDescent="0.25">
      <c r="A559" t="str">
        <f>"1790708626"</f>
        <v>1790708626</v>
      </c>
      <c r="B559" t="str">
        <f>"01768914"</f>
        <v>01768914</v>
      </c>
      <c r="C559" t="s">
        <v>5973</v>
      </c>
      <c r="D559" t="s">
        <v>5974</v>
      </c>
      <c r="E559" t="s">
        <v>5975</v>
      </c>
      <c r="G559" t="s">
        <v>5976</v>
      </c>
      <c r="H559" t="s">
        <v>5977</v>
      </c>
      <c r="J559" t="s">
        <v>5978</v>
      </c>
      <c r="L559" t="s">
        <v>79</v>
      </c>
      <c r="M559" t="s">
        <v>81</v>
      </c>
      <c r="R559" t="s">
        <v>5979</v>
      </c>
      <c r="W559" t="s">
        <v>5975</v>
      </c>
      <c r="X559" t="s">
        <v>809</v>
      </c>
      <c r="Y559" t="s">
        <v>237</v>
      </c>
      <c r="Z559" t="s">
        <v>73</v>
      </c>
      <c r="AA559" t="str">
        <f>"14224-1979"</f>
        <v>14224-1979</v>
      </c>
      <c r="AB559" t="s">
        <v>74</v>
      </c>
      <c r="AC559" t="s">
        <v>75</v>
      </c>
      <c r="AD559" t="s">
        <v>72</v>
      </c>
      <c r="AE559" t="s">
        <v>76</v>
      </c>
      <c r="AF559" t="s">
        <v>3961</v>
      </c>
      <c r="AG559" t="s">
        <v>77</v>
      </c>
    </row>
    <row r="560" spans="1:33" x14ac:dyDescent="0.25">
      <c r="A560" t="str">
        <f>"1962417394"</f>
        <v>1962417394</v>
      </c>
      <c r="B560" t="str">
        <f>"01377820"</f>
        <v>01377820</v>
      </c>
      <c r="C560" t="s">
        <v>5980</v>
      </c>
      <c r="D560" t="s">
        <v>5981</v>
      </c>
      <c r="E560" t="s">
        <v>5982</v>
      </c>
      <c r="G560" t="s">
        <v>5980</v>
      </c>
      <c r="H560" t="s">
        <v>4732</v>
      </c>
      <c r="J560" t="s">
        <v>5983</v>
      </c>
      <c r="L560" t="s">
        <v>79</v>
      </c>
      <c r="M560" t="s">
        <v>72</v>
      </c>
      <c r="R560" t="s">
        <v>5984</v>
      </c>
      <c r="W560" t="s">
        <v>5982</v>
      </c>
      <c r="X560" t="s">
        <v>3927</v>
      </c>
      <c r="Y560" t="s">
        <v>117</v>
      </c>
      <c r="Z560" t="s">
        <v>73</v>
      </c>
      <c r="AA560" t="str">
        <f>"14215-3021"</f>
        <v>14215-3021</v>
      </c>
      <c r="AB560" t="s">
        <v>74</v>
      </c>
      <c r="AC560" t="s">
        <v>75</v>
      </c>
      <c r="AD560" t="s">
        <v>72</v>
      </c>
      <c r="AE560" t="s">
        <v>76</v>
      </c>
      <c r="AF560" t="s">
        <v>3974</v>
      </c>
      <c r="AG560" t="s">
        <v>77</v>
      </c>
    </row>
    <row r="561" spans="1:33" x14ac:dyDescent="0.25">
      <c r="A561" t="str">
        <f>"1215193800"</f>
        <v>1215193800</v>
      </c>
      <c r="B561" t="str">
        <f>"03504327"</f>
        <v>03504327</v>
      </c>
      <c r="C561" t="s">
        <v>5985</v>
      </c>
      <c r="D561" t="s">
        <v>5986</v>
      </c>
      <c r="E561" t="s">
        <v>5987</v>
      </c>
      <c r="G561" t="s">
        <v>5010</v>
      </c>
      <c r="H561" t="s">
        <v>1119</v>
      </c>
      <c r="J561" t="s">
        <v>5011</v>
      </c>
      <c r="L561" t="s">
        <v>79</v>
      </c>
      <c r="M561" t="s">
        <v>72</v>
      </c>
      <c r="R561" t="s">
        <v>5987</v>
      </c>
      <c r="W561" t="s">
        <v>5988</v>
      </c>
      <c r="X561" t="s">
        <v>385</v>
      </c>
      <c r="Y561" t="s">
        <v>228</v>
      </c>
      <c r="Z561" t="s">
        <v>73</v>
      </c>
      <c r="AA561" t="str">
        <f>"14226-1738"</f>
        <v>14226-1738</v>
      </c>
      <c r="AB561" t="s">
        <v>74</v>
      </c>
      <c r="AC561" t="s">
        <v>75</v>
      </c>
      <c r="AD561" t="s">
        <v>72</v>
      </c>
      <c r="AE561" t="s">
        <v>76</v>
      </c>
      <c r="AF561" t="s">
        <v>3974</v>
      </c>
      <c r="AG561" t="s">
        <v>77</v>
      </c>
    </row>
    <row r="562" spans="1:33" x14ac:dyDescent="0.25">
      <c r="A562" t="str">
        <f>"1821228511"</f>
        <v>1821228511</v>
      </c>
      <c r="B562" t="str">
        <f>"03130976"</f>
        <v>03130976</v>
      </c>
      <c r="C562" t="s">
        <v>5989</v>
      </c>
      <c r="D562" t="s">
        <v>2854</v>
      </c>
      <c r="E562" t="s">
        <v>2855</v>
      </c>
      <c r="G562" t="s">
        <v>5990</v>
      </c>
      <c r="H562" t="s">
        <v>789</v>
      </c>
      <c r="J562" t="s">
        <v>5991</v>
      </c>
      <c r="L562" t="s">
        <v>79</v>
      </c>
      <c r="M562" t="s">
        <v>72</v>
      </c>
      <c r="R562" t="s">
        <v>2856</v>
      </c>
      <c r="W562" t="s">
        <v>2855</v>
      </c>
      <c r="X562" t="s">
        <v>1550</v>
      </c>
      <c r="Y562" t="s">
        <v>228</v>
      </c>
      <c r="Z562" t="s">
        <v>73</v>
      </c>
      <c r="AA562" t="str">
        <f>"14226-1727"</f>
        <v>14226-1727</v>
      </c>
      <c r="AB562" t="s">
        <v>74</v>
      </c>
      <c r="AC562" t="s">
        <v>75</v>
      </c>
      <c r="AD562" t="s">
        <v>72</v>
      </c>
      <c r="AE562" t="s">
        <v>76</v>
      </c>
      <c r="AF562" t="s">
        <v>3974</v>
      </c>
      <c r="AG562" t="s">
        <v>77</v>
      </c>
    </row>
    <row r="563" spans="1:33" x14ac:dyDescent="0.25">
      <c r="A563" t="str">
        <f>"1811167448"</f>
        <v>1811167448</v>
      </c>
      <c r="B563" t="str">
        <f>"02962054"</f>
        <v>02962054</v>
      </c>
      <c r="C563" t="s">
        <v>5992</v>
      </c>
      <c r="D563" t="s">
        <v>5993</v>
      </c>
      <c r="E563" t="s">
        <v>5994</v>
      </c>
      <c r="G563" t="s">
        <v>5995</v>
      </c>
      <c r="H563" t="s">
        <v>5786</v>
      </c>
      <c r="J563" t="s">
        <v>5996</v>
      </c>
      <c r="L563" t="s">
        <v>80</v>
      </c>
      <c r="M563" t="s">
        <v>81</v>
      </c>
      <c r="R563" t="s">
        <v>5994</v>
      </c>
      <c r="W563" t="s">
        <v>5994</v>
      </c>
      <c r="X563" t="s">
        <v>5409</v>
      </c>
      <c r="Y563" t="s">
        <v>117</v>
      </c>
      <c r="Z563" t="s">
        <v>73</v>
      </c>
      <c r="AA563" t="str">
        <f>"14204-2275"</f>
        <v>14204-2275</v>
      </c>
      <c r="AB563" t="s">
        <v>74</v>
      </c>
      <c r="AC563" t="s">
        <v>75</v>
      </c>
      <c r="AD563" t="s">
        <v>72</v>
      </c>
      <c r="AE563" t="s">
        <v>76</v>
      </c>
      <c r="AF563" t="s">
        <v>3961</v>
      </c>
      <c r="AG563" t="s">
        <v>77</v>
      </c>
    </row>
    <row r="564" spans="1:33" x14ac:dyDescent="0.25">
      <c r="A564" t="str">
        <f>"1225015621"</f>
        <v>1225015621</v>
      </c>
      <c r="B564" t="str">
        <f>"01548690"</f>
        <v>01548690</v>
      </c>
      <c r="C564" t="s">
        <v>5997</v>
      </c>
      <c r="D564" t="s">
        <v>1988</v>
      </c>
      <c r="E564" t="s">
        <v>1989</v>
      </c>
      <c r="G564" t="s">
        <v>5998</v>
      </c>
      <c r="H564" t="s">
        <v>1990</v>
      </c>
      <c r="J564" t="s">
        <v>5999</v>
      </c>
      <c r="L564" t="s">
        <v>80</v>
      </c>
      <c r="M564" t="s">
        <v>72</v>
      </c>
      <c r="R564" t="s">
        <v>1991</v>
      </c>
      <c r="W564" t="s">
        <v>1989</v>
      </c>
      <c r="X564" t="s">
        <v>1992</v>
      </c>
      <c r="Y564" t="s">
        <v>247</v>
      </c>
      <c r="Z564" t="s">
        <v>73</v>
      </c>
      <c r="AA564" t="str">
        <f>"14225-4558"</f>
        <v>14225-4558</v>
      </c>
      <c r="AB564" t="s">
        <v>74</v>
      </c>
      <c r="AC564" t="s">
        <v>75</v>
      </c>
      <c r="AD564" t="s">
        <v>72</v>
      </c>
      <c r="AE564" t="s">
        <v>76</v>
      </c>
      <c r="AF564" t="s">
        <v>3961</v>
      </c>
      <c r="AG564" t="s">
        <v>77</v>
      </c>
    </row>
    <row r="565" spans="1:33" x14ac:dyDescent="0.25">
      <c r="A565" t="str">
        <f>"1760647945"</f>
        <v>1760647945</v>
      </c>
      <c r="B565" t="str">
        <f>"03383319"</f>
        <v>03383319</v>
      </c>
      <c r="C565" t="s">
        <v>6000</v>
      </c>
      <c r="D565" t="s">
        <v>6001</v>
      </c>
      <c r="E565" t="s">
        <v>6002</v>
      </c>
      <c r="G565" t="s">
        <v>5995</v>
      </c>
      <c r="H565" t="s">
        <v>5786</v>
      </c>
      <c r="J565" t="s">
        <v>5996</v>
      </c>
      <c r="L565" t="s">
        <v>80</v>
      </c>
      <c r="M565" t="s">
        <v>81</v>
      </c>
      <c r="R565" t="s">
        <v>6002</v>
      </c>
      <c r="W565" t="s">
        <v>6002</v>
      </c>
      <c r="X565" t="s">
        <v>5409</v>
      </c>
      <c r="Y565" t="s">
        <v>117</v>
      </c>
      <c r="Z565" t="s">
        <v>73</v>
      </c>
      <c r="AA565" t="str">
        <f>"14204-2275"</f>
        <v>14204-2275</v>
      </c>
      <c r="AB565" t="s">
        <v>74</v>
      </c>
      <c r="AC565" t="s">
        <v>75</v>
      </c>
      <c r="AD565" t="s">
        <v>72</v>
      </c>
      <c r="AE565" t="s">
        <v>76</v>
      </c>
      <c r="AG565" t="s">
        <v>77</v>
      </c>
    </row>
    <row r="566" spans="1:33" x14ac:dyDescent="0.25">
      <c r="A566" t="str">
        <f>"1205880770"</f>
        <v>1205880770</v>
      </c>
      <c r="B566" t="str">
        <f>"02505728"</f>
        <v>02505728</v>
      </c>
      <c r="C566" t="s">
        <v>6003</v>
      </c>
      <c r="D566" t="s">
        <v>6004</v>
      </c>
      <c r="E566" t="s">
        <v>6005</v>
      </c>
      <c r="L566" t="s">
        <v>71</v>
      </c>
      <c r="M566" t="s">
        <v>72</v>
      </c>
      <c r="R566" t="s">
        <v>6006</v>
      </c>
      <c r="W566" t="s">
        <v>6007</v>
      </c>
      <c r="X566" t="s">
        <v>6008</v>
      </c>
      <c r="Y566" t="s">
        <v>237</v>
      </c>
      <c r="Z566" t="s">
        <v>73</v>
      </c>
      <c r="AA566" t="str">
        <f>"14224-1151"</f>
        <v>14224-1151</v>
      </c>
      <c r="AB566" t="s">
        <v>74</v>
      </c>
      <c r="AC566" t="s">
        <v>75</v>
      </c>
      <c r="AD566" t="s">
        <v>72</v>
      </c>
      <c r="AE566" t="s">
        <v>76</v>
      </c>
      <c r="AF566" t="s">
        <v>3974</v>
      </c>
      <c r="AG566" t="s">
        <v>77</v>
      </c>
    </row>
    <row r="567" spans="1:33" x14ac:dyDescent="0.25">
      <c r="A567" t="str">
        <f>"1306195078"</f>
        <v>1306195078</v>
      </c>
      <c r="B567" t="str">
        <f>"03723071"</f>
        <v>03723071</v>
      </c>
      <c r="C567" t="s">
        <v>6009</v>
      </c>
      <c r="D567" t="s">
        <v>6010</v>
      </c>
      <c r="E567" t="s">
        <v>6011</v>
      </c>
      <c r="L567" t="s">
        <v>79</v>
      </c>
      <c r="M567" t="s">
        <v>72</v>
      </c>
      <c r="R567" t="s">
        <v>6012</v>
      </c>
      <c r="W567" t="s">
        <v>6011</v>
      </c>
      <c r="X567" t="s">
        <v>576</v>
      </c>
      <c r="Y567" t="s">
        <v>117</v>
      </c>
      <c r="Z567" t="s">
        <v>73</v>
      </c>
      <c r="AA567" t="str">
        <f>"14223-1107"</f>
        <v>14223-1107</v>
      </c>
      <c r="AB567" t="s">
        <v>74</v>
      </c>
      <c r="AC567" t="s">
        <v>75</v>
      </c>
      <c r="AD567" t="s">
        <v>72</v>
      </c>
      <c r="AE567" t="s">
        <v>76</v>
      </c>
      <c r="AF567" t="s">
        <v>3961</v>
      </c>
      <c r="AG567" t="s">
        <v>77</v>
      </c>
    </row>
    <row r="568" spans="1:33" x14ac:dyDescent="0.25">
      <c r="A568" t="str">
        <f>"1134126204"</f>
        <v>1134126204</v>
      </c>
      <c r="B568" t="str">
        <f>"02057165"</f>
        <v>02057165</v>
      </c>
      <c r="C568" t="s">
        <v>6013</v>
      </c>
      <c r="D568" t="s">
        <v>6014</v>
      </c>
      <c r="E568" t="s">
        <v>6015</v>
      </c>
      <c r="L568" t="s">
        <v>71</v>
      </c>
      <c r="M568" t="s">
        <v>72</v>
      </c>
      <c r="R568" t="s">
        <v>6016</v>
      </c>
      <c r="W568" t="s">
        <v>6015</v>
      </c>
      <c r="X568" t="s">
        <v>300</v>
      </c>
      <c r="Y568" t="s">
        <v>221</v>
      </c>
      <c r="Z568" t="s">
        <v>73</v>
      </c>
      <c r="AA568" t="str">
        <f>"14221-5329"</f>
        <v>14221-5329</v>
      </c>
      <c r="AB568" t="s">
        <v>74</v>
      </c>
      <c r="AC568" t="s">
        <v>75</v>
      </c>
      <c r="AD568" t="s">
        <v>72</v>
      </c>
      <c r="AE568" t="s">
        <v>76</v>
      </c>
      <c r="AF568" t="s">
        <v>3974</v>
      </c>
      <c r="AG568" t="s">
        <v>77</v>
      </c>
    </row>
    <row r="569" spans="1:33" x14ac:dyDescent="0.25">
      <c r="A569" t="str">
        <f>"1164496717"</f>
        <v>1164496717</v>
      </c>
      <c r="B569" t="str">
        <f>"02345733"</f>
        <v>02345733</v>
      </c>
      <c r="C569" t="s">
        <v>6017</v>
      </c>
      <c r="D569" t="s">
        <v>6018</v>
      </c>
      <c r="E569" t="s">
        <v>6019</v>
      </c>
      <c r="L569" t="s">
        <v>80</v>
      </c>
      <c r="M569" t="s">
        <v>72</v>
      </c>
      <c r="R569" t="s">
        <v>6020</v>
      </c>
      <c r="W569" t="s">
        <v>6019</v>
      </c>
      <c r="X569" t="s">
        <v>278</v>
      </c>
      <c r="Y569" t="s">
        <v>1093</v>
      </c>
      <c r="Z569" t="s">
        <v>73</v>
      </c>
      <c r="AA569" t="str">
        <f>"14052-2540"</f>
        <v>14052-2540</v>
      </c>
      <c r="AB569" t="s">
        <v>74</v>
      </c>
      <c r="AC569" t="s">
        <v>75</v>
      </c>
      <c r="AD569" t="s">
        <v>72</v>
      </c>
      <c r="AE569" t="s">
        <v>76</v>
      </c>
      <c r="AF569" t="s">
        <v>3961</v>
      </c>
      <c r="AG569" t="s">
        <v>77</v>
      </c>
    </row>
    <row r="570" spans="1:33" x14ac:dyDescent="0.25">
      <c r="A570" t="str">
        <f>"1013902931"</f>
        <v>1013902931</v>
      </c>
      <c r="B570" t="str">
        <f>"01273165"</f>
        <v>01273165</v>
      </c>
      <c r="C570" t="s">
        <v>6021</v>
      </c>
      <c r="D570" t="s">
        <v>346</v>
      </c>
      <c r="E570" t="s">
        <v>347</v>
      </c>
      <c r="L570" t="s">
        <v>79</v>
      </c>
      <c r="M570" t="s">
        <v>72</v>
      </c>
      <c r="R570" t="s">
        <v>348</v>
      </c>
      <c r="W570" t="s">
        <v>347</v>
      </c>
      <c r="X570" t="s">
        <v>349</v>
      </c>
      <c r="Y570" t="s">
        <v>350</v>
      </c>
      <c r="Z570" t="s">
        <v>73</v>
      </c>
      <c r="AA570" t="str">
        <f>"14005-0149"</f>
        <v>14005-0149</v>
      </c>
      <c r="AB570" t="s">
        <v>74</v>
      </c>
      <c r="AC570" t="s">
        <v>75</v>
      </c>
      <c r="AD570" t="s">
        <v>72</v>
      </c>
      <c r="AE570" t="s">
        <v>76</v>
      </c>
      <c r="AF570" t="s">
        <v>3974</v>
      </c>
      <c r="AG570" t="s">
        <v>77</v>
      </c>
    </row>
    <row r="571" spans="1:33" x14ac:dyDescent="0.25">
      <c r="A571" t="str">
        <f>"1760525166"</f>
        <v>1760525166</v>
      </c>
      <c r="B571" t="str">
        <f>"01804200"</f>
        <v>01804200</v>
      </c>
      <c r="C571" t="s">
        <v>6022</v>
      </c>
      <c r="D571" t="s">
        <v>6023</v>
      </c>
      <c r="E571" t="s">
        <v>6024</v>
      </c>
      <c r="L571" t="s">
        <v>79</v>
      </c>
      <c r="M571" t="s">
        <v>72</v>
      </c>
      <c r="R571" t="s">
        <v>6025</v>
      </c>
      <c r="W571" t="s">
        <v>6026</v>
      </c>
      <c r="X571" t="s">
        <v>3776</v>
      </c>
      <c r="Y571" t="s">
        <v>237</v>
      </c>
      <c r="Z571" t="s">
        <v>73</v>
      </c>
      <c r="AA571" t="str">
        <f>"14224-3445"</f>
        <v>14224-3445</v>
      </c>
      <c r="AB571" t="s">
        <v>74</v>
      </c>
      <c r="AC571" t="s">
        <v>75</v>
      </c>
      <c r="AD571" t="s">
        <v>72</v>
      </c>
      <c r="AE571" t="s">
        <v>76</v>
      </c>
      <c r="AF571" t="s">
        <v>3961</v>
      </c>
      <c r="AG571" t="s">
        <v>77</v>
      </c>
    </row>
    <row r="572" spans="1:33" x14ac:dyDescent="0.25">
      <c r="A572" t="str">
        <f>"1659669398"</f>
        <v>1659669398</v>
      </c>
      <c r="B572" t="str">
        <f>"03383933"</f>
        <v>03383933</v>
      </c>
      <c r="C572" t="s">
        <v>6027</v>
      </c>
      <c r="D572" t="s">
        <v>6028</v>
      </c>
      <c r="E572" t="s">
        <v>6029</v>
      </c>
      <c r="L572" t="s">
        <v>80</v>
      </c>
      <c r="M572" t="s">
        <v>72</v>
      </c>
      <c r="R572" t="s">
        <v>6029</v>
      </c>
      <c r="W572" t="s">
        <v>6030</v>
      </c>
      <c r="X572" t="s">
        <v>6031</v>
      </c>
      <c r="Y572" t="s">
        <v>117</v>
      </c>
      <c r="Z572" t="s">
        <v>73</v>
      </c>
      <c r="AA572" t="str">
        <f>"14203-1245"</f>
        <v>14203-1245</v>
      </c>
      <c r="AB572" t="s">
        <v>74</v>
      </c>
      <c r="AC572" t="s">
        <v>75</v>
      </c>
      <c r="AD572" t="s">
        <v>72</v>
      </c>
      <c r="AE572" t="s">
        <v>76</v>
      </c>
      <c r="AF572" t="s">
        <v>3961</v>
      </c>
      <c r="AG572" t="s">
        <v>77</v>
      </c>
    </row>
    <row r="573" spans="1:33" x14ac:dyDescent="0.25">
      <c r="A573" t="str">
        <f>"1225226947"</f>
        <v>1225226947</v>
      </c>
      <c r="B573" t="str">
        <f>"02962141"</f>
        <v>02962141</v>
      </c>
      <c r="C573" t="s">
        <v>6032</v>
      </c>
      <c r="D573" t="s">
        <v>2034</v>
      </c>
      <c r="E573" t="s">
        <v>2035</v>
      </c>
      <c r="L573" t="s">
        <v>80</v>
      </c>
      <c r="M573" t="s">
        <v>81</v>
      </c>
      <c r="R573" t="s">
        <v>2036</v>
      </c>
      <c r="W573" t="s">
        <v>2037</v>
      </c>
      <c r="X573" t="s">
        <v>747</v>
      </c>
      <c r="Y573" t="s">
        <v>117</v>
      </c>
      <c r="Z573" t="s">
        <v>73</v>
      </c>
      <c r="AA573" t="str">
        <f>"14207-1816"</f>
        <v>14207-1816</v>
      </c>
      <c r="AB573" t="s">
        <v>74</v>
      </c>
      <c r="AC573" t="s">
        <v>75</v>
      </c>
      <c r="AD573" t="s">
        <v>72</v>
      </c>
      <c r="AE573" t="s">
        <v>76</v>
      </c>
      <c r="AF573" t="s">
        <v>3961</v>
      </c>
      <c r="AG573" t="s">
        <v>77</v>
      </c>
    </row>
    <row r="574" spans="1:33" x14ac:dyDescent="0.25">
      <c r="A574" t="str">
        <f>"1841263290"</f>
        <v>1841263290</v>
      </c>
      <c r="B574" t="str">
        <f>"02430468"</f>
        <v>02430468</v>
      </c>
      <c r="C574" t="s">
        <v>6033</v>
      </c>
      <c r="D574" t="s">
        <v>3559</v>
      </c>
      <c r="E574" t="s">
        <v>3560</v>
      </c>
      <c r="L574" t="s">
        <v>79</v>
      </c>
      <c r="M574" t="s">
        <v>72</v>
      </c>
      <c r="R574" t="s">
        <v>3560</v>
      </c>
      <c r="W574" t="s">
        <v>3561</v>
      </c>
      <c r="X574" t="s">
        <v>1768</v>
      </c>
      <c r="Y574" t="s">
        <v>228</v>
      </c>
      <c r="Z574" t="s">
        <v>73</v>
      </c>
      <c r="AA574" t="str">
        <f>"14226-2500"</f>
        <v>14226-2500</v>
      </c>
      <c r="AB574" t="s">
        <v>74</v>
      </c>
      <c r="AC574" t="s">
        <v>75</v>
      </c>
      <c r="AD574" t="s">
        <v>72</v>
      </c>
      <c r="AE574" t="s">
        <v>76</v>
      </c>
      <c r="AF574" t="s">
        <v>3974</v>
      </c>
      <c r="AG574" t="s">
        <v>77</v>
      </c>
    </row>
    <row r="575" spans="1:33" x14ac:dyDescent="0.25">
      <c r="A575" t="str">
        <f>"1952584914"</f>
        <v>1952584914</v>
      </c>
      <c r="B575" t="str">
        <f>"03214968"</f>
        <v>03214968</v>
      </c>
      <c r="C575" t="s">
        <v>6034</v>
      </c>
      <c r="D575" t="s">
        <v>6035</v>
      </c>
      <c r="E575" t="s">
        <v>6036</v>
      </c>
      <c r="L575" t="s">
        <v>79</v>
      </c>
      <c r="M575" t="s">
        <v>72</v>
      </c>
      <c r="R575" t="s">
        <v>6037</v>
      </c>
      <c r="W575" t="s">
        <v>6036</v>
      </c>
      <c r="X575" t="s">
        <v>6038</v>
      </c>
      <c r="Y575" t="s">
        <v>247</v>
      </c>
      <c r="Z575" t="s">
        <v>73</v>
      </c>
      <c r="AA575" t="str">
        <f>"14227-2379"</f>
        <v>14227-2379</v>
      </c>
      <c r="AB575" t="s">
        <v>74</v>
      </c>
      <c r="AC575" t="s">
        <v>75</v>
      </c>
      <c r="AD575" t="s">
        <v>72</v>
      </c>
      <c r="AE575" t="s">
        <v>76</v>
      </c>
      <c r="AF575" t="s">
        <v>3961</v>
      </c>
      <c r="AG575" t="s">
        <v>77</v>
      </c>
    </row>
    <row r="576" spans="1:33" x14ac:dyDescent="0.25">
      <c r="A576" t="str">
        <f>"1407823263"</f>
        <v>1407823263</v>
      </c>
      <c r="B576" t="str">
        <f>"02429041"</f>
        <v>02429041</v>
      </c>
      <c r="C576" t="s">
        <v>6039</v>
      </c>
      <c r="D576" t="s">
        <v>6040</v>
      </c>
      <c r="E576" t="s">
        <v>6041</v>
      </c>
      <c r="L576" t="s">
        <v>80</v>
      </c>
      <c r="M576" t="s">
        <v>72</v>
      </c>
      <c r="R576" t="s">
        <v>6042</v>
      </c>
      <c r="W576" t="s">
        <v>6041</v>
      </c>
      <c r="X576" t="s">
        <v>1895</v>
      </c>
      <c r="Y576" t="s">
        <v>1079</v>
      </c>
      <c r="Z576" t="s">
        <v>73</v>
      </c>
      <c r="AA576" t="str">
        <f>"14075-2600"</f>
        <v>14075-2600</v>
      </c>
      <c r="AB576" t="s">
        <v>74</v>
      </c>
      <c r="AC576" t="s">
        <v>75</v>
      </c>
      <c r="AD576" t="s">
        <v>72</v>
      </c>
      <c r="AE576" t="s">
        <v>76</v>
      </c>
      <c r="AF576" t="s">
        <v>3961</v>
      </c>
      <c r="AG576" t="s">
        <v>77</v>
      </c>
    </row>
    <row r="577" spans="1:33" x14ac:dyDescent="0.25">
      <c r="A577" t="str">
        <f>"1093913972"</f>
        <v>1093913972</v>
      </c>
      <c r="B577" t="str">
        <f>"03942734"</f>
        <v>03942734</v>
      </c>
      <c r="C577" t="s">
        <v>6043</v>
      </c>
      <c r="D577" t="s">
        <v>6044</v>
      </c>
      <c r="E577" t="s">
        <v>6045</v>
      </c>
      <c r="L577" t="s">
        <v>79</v>
      </c>
      <c r="M577" t="s">
        <v>72</v>
      </c>
      <c r="R577" t="s">
        <v>6046</v>
      </c>
      <c r="W577" t="s">
        <v>6045</v>
      </c>
      <c r="X577" t="s">
        <v>5300</v>
      </c>
      <c r="Y577" t="s">
        <v>117</v>
      </c>
      <c r="Z577" t="s">
        <v>73</v>
      </c>
      <c r="AA577" t="str">
        <f>"14214-2673"</f>
        <v>14214-2673</v>
      </c>
      <c r="AB577" t="s">
        <v>74</v>
      </c>
      <c r="AC577" t="s">
        <v>75</v>
      </c>
      <c r="AD577" t="s">
        <v>72</v>
      </c>
      <c r="AE577" t="s">
        <v>76</v>
      </c>
      <c r="AF577" t="s">
        <v>3974</v>
      </c>
      <c r="AG577" t="s">
        <v>77</v>
      </c>
    </row>
    <row r="578" spans="1:33" x14ac:dyDescent="0.25">
      <c r="A578" t="str">
        <f>"1427181452"</f>
        <v>1427181452</v>
      </c>
      <c r="B578" t="str">
        <f>"02985133"</f>
        <v>02985133</v>
      </c>
      <c r="C578" t="s">
        <v>6047</v>
      </c>
      <c r="D578" t="s">
        <v>6048</v>
      </c>
      <c r="E578" t="s">
        <v>6049</v>
      </c>
      <c r="L578" t="s">
        <v>79</v>
      </c>
      <c r="M578" t="s">
        <v>72</v>
      </c>
      <c r="R578" t="s">
        <v>6050</v>
      </c>
      <c r="W578" t="s">
        <v>6051</v>
      </c>
      <c r="X578" t="s">
        <v>1161</v>
      </c>
      <c r="Y578" t="s">
        <v>1079</v>
      </c>
      <c r="Z578" t="s">
        <v>73</v>
      </c>
      <c r="AA578" t="str">
        <f>"14075-5835"</f>
        <v>14075-5835</v>
      </c>
      <c r="AB578" t="s">
        <v>74</v>
      </c>
      <c r="AC578" t="s">
        <v>75</v>
      </c>
      <c r="AD578" t="s">
        <v>72</v>
      </c>
      <c r="AE578" t="s">
        <v>76</v>
      </c>
      <c r="AF578" t="s">
        <v>3961</v>
      </c>
      <c r="AG578" t="s">
        <v>77</v>
      </c>
    </row>
    <row r="579" spans="1:33" x14ac:dyDescent="0.25">
      <c r="A579" t="str">
        <f>"1194026484"</f>
        <v>1194026484</v>
      </c>
      <c r="B579" t="str">
        <f>"03420091"</f>
        <v>03420091</v>
      </c>
      <c r="C579" t="s">
        <v>6052</v>
      </c>
      <c r="D579" t="s">
        <v>337</v>
      </c>
      <c r="E579" t="s">
        <v>338</v>
      </c>
      <c r="L579" t="s">
        <v>79</v>
      </c>
      <c r="M579" t="s">
        <v>72</v>
      </c>
      <c r="R579" t="s">
        <v>339</v>
      </c>
      <c r="W579" t="s">
        <v>340</v>
      </c>
      <c r="X579" t="s">
        <v>201</v>
      </c>
      <c r="Y579" t="s">
        <v>111</v>
      </c>
      <c r="Z579" t="s">
        <v>73</v>
      </c>
      <c r="AA579" t="str">
        <f>"14621-3001"</f>
        <v>14621-3001</v>
      </c>
      <c r="AB579" t="s">
        <v>74</v>
      </c>
      <c r="AC579" t="s">
        <v>75</v>
      </c>
      <c r="AD579" t="s">
        <v>72</v>
      </c>
      <c r="AE579" t="s">
        <v>76</v>
      </c>
      <c r="AF579" t="s">
        <v>3974</v>
      </c>
      <c r="AG579" t="s">
        <v>77</v>
      </c>
    </row>
    <row r="580" spans="1:33" x14ac:dyDescent="0.25">
      <c r="A580" t="str">
        <f>"1467861468"</f>
        <v>1467861468</v>
      </c>
      <c r="B580" t="str">
        <f>"04060931"</f>
        <v>04060931</v>
      </c>
      <c r="C580" t="s">
        <v>6053</v>
      </c>
      <c r="D580" t="s">
        <v>6054</v>
      </c>
      <c r="E580" t="s">
        <v>6055</v>
      </c>
      <c r="L580" t="s">
        <v>79</v>
      </c>
      <c r="M580" t="s">
        <v>72</v>
      </c>
      <c r="R580" t="s">
        <v>6056</v>
      </c>
      <c r="W580" t="s">
        <v>6055</v>
      </c>
      <c r="X580" t="s">
        <v>5612</v>
      </c>
      <c r="Y580" t="s">
        <v>365</v>
      </c>
      <c r="Z580" t="s">
        <v>73</v>
      </c>
      <c r="AA580" t="str">
        <f>"14217-1234"</f>
        <v>14217-1234</v>
      </c>
      <c r="AB580" t="s">
        <v>74</v>
      </c>
      <c r="AC580" t="s">
        <v>75</v>
      </c>
      <c r="AD580" t="s">
        <v>72</v>
      </c>
      <c r="AE580" t="s">
        <v>76</v>
      </c>
      <c r="AF580" t="s">
        <v>4043</v>
      </c>
      <c r="AG580" t="s">
        <v>77</v>
      </c>
    </row>
    <row r="581" spans="1:33" x14ac:dyDescent="0.25">
      <c r="B581" t="str">
        <f>"03045778"</f>
        <v>03045778</v>
      </c>
      <c r="C581" t="s">
        <v>6057</v>
      </c>
      <c r="D581" t="s">
        <v>3804</v>
      </c>
      <c r="E581" t="s">
        <v>3803</v>
      </c>
      <c r="F581">
        <v>161291766</v>
      </c>
      <c r="G581" t="s">
        <v>5717</v>
      </c>
      <c r="H581" t="s">
        <v>694</v>
      </c>
      <c r="J581" t="s">
        <v>3686</v>
      </c>
      <c r="L581" t="s">
        <v>35</v>
      </c>
      <c r="M581" t="s">
        <v>81</v>
      </c>
      <c r="W581" t="s">
        <v>3803</v>
      </c>
      <c r="X581" t="s">
        <v>695</v>
      </c>
      <c r="Y581" t="s">
        <v>217</v>
      </c>
      <c r="Z581" t="s">
        <v>73</v>
      </c>
      <c r="AA581" t="str">
        <f>"14760-1140"</f>
        <v>14760-1140</v>
      </c>
      <c r="AB581" t="s">
        <v>88</v>
      </c>
      <c r="AC581" t="s">
        <v>75</v>
      </c>
      <c r="AD581" t="s">
        <v>72</v>
      </c>
      <c r="AE581" t="s">
        <v>76</v>
      </c>
      <c r="AG581" t="s">
        <v>77</v>
      </c>
    </row>
    <row r="582" spans="1:33" x14ac:dyDescent="0.25">
      <c r="A582" t="str">
        <f>"1235300864"</f>
        <v>1235300864</v>
      </c>
      <c r="B582" t="str">
        <f>"01303488"</f>
        <v>01303488</v>
      </c>
      <c r="C582" t="s">
        <v>5721</v>
      </c>
      <c r="D582" t="s">
        <v>3290</v>
      </c>
      <c r="E582" t="s">
        <v>3291</v>
      </c>
      <c r="F582">
        <v>161291766</v>
      </c>
      <c r="G582" t="s">
        <v>5717</v>
      </c>
      <c r="H582" t="s">
        <v>694</v>
      </c>
      <c r="J582" t="s">
        <v>3686</v>
      </c>
      <c r="L582" t="s">
        <v>10</v>
      </c>
      <c r="M582" t="s">
        <v>81</v>
      </c>
      <c r="R582" t="s">
        <v>691</v>
      </c>
      <c r="W582" t="s">
        <v>3291</v>
      </c>
      <c r="X582" t="s">
        <v>3292</v>
      </c>
      <c r="Y582" t="s">
        <v>217</v>
      </c>
      <c r="Z582" t="s">
        <v>73</v>
      </c>
      <c r="AA582" t="str">
        <f>"14760-2849"</f>
        <v>14760-2849</v>
      </c>
      <c r="AB582" t="s">
        <v>88</v>
      </c>
      <c r="AC582" t="s">
        <v>75</v>
      </c>
      <c r="AD582" t="s">
        <v>72</v>
      </c>
      <c r="AE582" t="s">
        <v>76</v>
      </c>
      <c r="AG582" t="s">
        <v>77</v>
      </c>
    </row>
    <row r="583" spans="1:33" x14ac:dyDescent="0.25">
      <c r="B583" t="str">
        <f>"01510856"</f>
        <v>01510856</v>
      </c>
      <c r="C583" t="s">
        <v>6058</v>
      </c>
      <c r="D583" t="s">
        <v>3314</v>
      </c>
      <c r="E583" t="s">
        <v>3313</v>
      </c>
      <c r="F583">
        <v>161291766</v>
      </c>
      <c r="G583" t="s">
        <v>5717</v>
      </c>
      <c r="H583" t="s">
        <v>694</v>
      </c>
      <c r="J583" t="s">
        <v>3686</v>
      </c>
      <c r="L583" t="s">
        <v>35</v>
      </c>
      <c r="M583" t="s">
        <v>81</v>
      </c>
      <c r="W583" t="s">
        <v>3313</v>
      </c>
      <c r="X583" t="s">
        <v>3315</v>
      </c>
      <c r="Y583" t="s">
        <v>217</v>
      </c>
      <c r="Z583" t="s">
        <v>73</v>
      </c>
      <c r="AA583" t="str">
        <f>"14760-1140"</f>
        <v>14760-1140</v>
      </c>
      <c r="AB583" t="s">
        <v>88</v>
      </c>
      <c r="AC583" t="s">
        <v>75</v>
      </c>
      <c r="AD583" t="s">
        <v>72</v>
      </c>
      <c r="AE583" t="s">
        <v>76</v>
      </c>
      <c r="AG583" t="s">
        <v>77</v>
      </c>
    </row>
    <row r="584" spans="1:33" x14ac:dyDescent="0.25">
      <c r="B584" t="str">
        <f>"00990809"</f>
        <v>00990809</v>
      </c>
      <c r="C584" t="s">
        <v>6059</v>
      </c>
      <c r="D584" t="s">
        <v>6060</v>
      </c>
      <c r="E584" t="s">
        <v>6061</v>
      </c>
      <c r="F584">
        <v>160818293</v>
      </c>
      <c r="G584" t="s">
        <v>5717</v>
      </c>
      <c r="H584" t="s">
        <v>694</v>
      </c>
      <c r="J584" t="s">
        <v>3686</v>
      </c>
      <c r="L584" t="s">
        <v>92</v>
      </c>
      <c r="M584" t="s">
        <v>81</v>
      </c>
      <c r="W584" t="s">
        <v>6061</v>
      </c>
      <c r="X584" t="s">
        <v>6062</v>
      </c>
      <c r="Y584" t="s">
        <v>217</v>
      </c>
      <c r="Z584" t="s">
        <v>73</v>
      </c>
      <c r="AA584" t="str">
        <f>"14760-1124"</f>
        <v>14760-1124</v>
      </c>
      <c r="AB584" t="s">
        <v>98</v>
      </c>
      <c r="AC584" t="s">
        <v>75</v>
      </c>
      <c r="AD584" t="s">
        <v>72</v>
      </c>
      <c r="AE584" t="s">
        <v>76</v>
      </c>
      <c r="AG584" t="s">
        <v>77</v>
      </c>
    </row>
    <row r="585" spans="1:33" x14ac:dyDescent="0.25">
      <c r="B585" t="str">
        <f>"01216022"</f>
        <v>01216022</v>
      </c>
      <c r="C585" t="s">
        <v>6063</v>
      </c>
      <c r="D585" t="s">
        <v>6064</v>
      </c>
      <c r="E585" t="s">
        <v>6063</v>
      </c>
      <c r="F585">
        <v>160818293</v>
      </c>
      <c r="G585" t="s">
        <v>5717</v>
      </c>
      <c r="H585" t="s">
        <v>694</v>
      </c>
      <c r="J585" t="s">
        <v>3686</v>
      </c>
      <c r="L585" t="s">
        <v>92</v>
      </c>
      <c r="M585" t="s">
        <v>81</v>
      </c>
      <c r="W585" t="s">
        <v>6063</v>
      </c>
      <c r="X585" t="s">
        <v>6065</v>
      </c>
      <c r="Y585" t="s">
        <v>1361</v>
      </c>
      <c r="Z585" t="s">
        <v>73</v>
      </c>
      <c r="AA585" t="str">
        <f>"14706-9671"</f>
        <v>14706-9671</v>
      </c>
      <c r="AB585" t="s">
        <v>98</v>
      </c>
      <c r="AC585" t="s">
        <v>75</v>
      </c>
      <c r="AD585" t="s">
        <v>72</v>
      </c>
      <c r="AE585" t="s">
        <v>76</v>
      </c>
      <c r="AG585" t="s">
        <v>77</v>
      </c>
    </row>
    <row r="586" spans="1:33" x14ac:dyDescent="0.25">
      <c r="A586" t="str">
        <f>"1033415161"</f>
        <v>1033415161</v>
      </c>
      <c r="B586" t="str">
        <f>"03628026"</f>
        <v>03628026</v>
      </c>
      <c r="C586" t="s">
        <v>6066</v>
      </c>
      <c r="D586" t="s">
        <v>2804</v>
      </c>
      <c r="E586" t="s">
        <v>2805</v>
      </c>
      <c r="F586">
        <v>161291766</v>
      </c>
      <c r="G586" t="s">
        <v>5717</v>
      </c>
      <c r="H586" t="s">
        <v>694</v>
      </c>
      <c r="J586" t="s">
        <v>3686</v>
      </c>
      <c r="L586" t="s">
        <v>9</v>
      </c>
      <c r="M586" t="s">
        <v>81</v>
      </c>
      <c r="R586" t="s">
        <v>691</v>
      </c>
      <c r="W586" t="s">
        <v>2805</v>
      </c>
      <c r="X586" t="s">
        <v>838</v>
      </c>
      <c r="Y586" t="s">
        <v>217</v>
      </c>
      <c r="Z586" t="s">
        <v>73</v>
      </c>
      <c r="AA586" t="str">
        <f>"14760-1100"</f>
        <v>14760-1100</v>
      </c>
      <c r="AB586" t="s">
        <v>83</v>
      </c>
      <c r="AC586" t="s">
        <v>75</v>
      </c>
      <c r="AD586" t="s">
        <v>72</v>
      </c>
      <c r="AE586" t="s">
        <v>76</v>
      </c>
      <c r="AG586" t="s">
        <v>77</v>
      </c>
    </row>
    <row r="587" spans="1:33" x14ac:dyDescent="0.25">
      <c r="A587" t="str">
        <f>"1720499221"</f>
        <v>1720499221</v>
      </c>
      <c r="C587" t="s">
        <v>6067</v>
      </c>
      <c r="G587" t="s">
        <v>5717</v>
      </c>
      <c r="H587" t="s">
        <v>694</v>
      </c>
      <c r="J587" t="s">
        <v>3686</v>
      </c>
      <c r="K587" t="s">
        <v>89</v>
      </c>
      <c r="L587" t="s">
        <v>92</v>
      </c>
      <c r="M587" t="s">
        <v>72</v>
      </c>
      <c r="R587" t="s">
        <v>691</v>
      </c>
      <c r="S587" t="s">
        <v>695</v>
      </c>
      <c r="T587" t="s">
        <v>217</v>
      </c>
      <c r="U587" t="s">
        <v>73</v>
      </c>
      <c r="V587" t="str">
        <f>"147601140"</f>
        <v>147601140</v>
      </c>
      <c r="AC587" t="s">
        <v>75</v>
      </c>
      <c r="AD587" t="s">
        <v>72</v>
      </c>
      <c r="AE587" t="s">
        <v>93</v>
      </c>
      <c r="AG587" t="s">
        <v>77</v>
      </c>
    </row>
    <row r="588" spans="1:33" x14ac:dyDescent="0.25">
      <c r="A588" t="str">
        <f>"1891131181"</f>
        <v>1891131181</v>
      </c>
      <c r="C588" t="s">
        <v>6067</v>
      </c>
      <c r="G588" t="s">
        <v>5717</v>
      </c>
      <c r="H588" t="s">
        <v>694</v>
      </c>
      <c r="J588" t="s">
        <v>3686</v>
      </c>
      <c r="K588" t="s">
        <v>89</v>
      </c>
      <c r="L588" t="s">
        <v>92</v>
      </c>
      <c r="M588" t="s">
        <v>72</v>
      </c>
      <c r="R588" t="s">
        <v>691</v>
      </c>
      <c r="S588" t="s">
        <v>695</v>
      </c>
      <c r="T588" t="s">
        <v>217</v>
      </c>
      <c r="U588" t="s">
        <v>73</v>
      </c>
      <c r="V588" t="str">
        <f>"147601140"</f>
        <v>147601140</v>
      </c>
      <c r="AC588" t="s">
        <v>75</v>
      </c>
      <c r="AD588" t="s">
        <v>72</v>
      </c>
      <c r="AE588" t="s">
        <v>93</v>
      </c>
      <c r="AG588" t="s">
        <v>77</v>
      </c>
    </row>
    <row r="589" spans="1:33" x14ac:dyDescent="0.25">
      <c r="A589" t="str">
        <f>"1124236005"</f>
        <v>1124236005</v>
      </c>
      <c r="B589" t="str">
        <f>"00744876"</f>
        <v>00744876</v>
      </c>
      <c r="C589" t="s">
        <v>2883</v>
      </c>
      <c r="D589" t="s">
        <v>2882</v>
      </c>
      <c r="E589" t="s">
        <v>2883</v>
      </c>
      <c r="F589">
        <v>160818293</v>
      </c>
      <c r="G589" t="s">
        <v>5717</v>
      </c>
      <c r="H589" t="s">
        <v>694</v>
      </c>
      <c r="J589" t="s">
        <v>3686</v>
      </c>
      <c r="L589" t="s">
        <v>35</v>
      </c>
      <c r="M589" t="s">
        <v>81</v>
      </c>
      <c r="R589" t="s">
        <v>2881</v>
      </c>
      <c r="W589" t="s">
        <v>2883</v>
      </c>
      <c r="X589" t="s">
        <v>287</v>
      </c>
      <c r="Y589" t="s">
        <v>1361</v>
      </c>
      <c r="Z589" t="s">
        <v>73</v>
      </c>
      <c r="AA589" t="str">
        <f>"14706-9733"</f>
        <v>14706-9733</v>
      </c>
      <c r="AB589" t="s">
        <v>109</v>
      </c>
      <c r="AC589" t="s">
        <v>75</v>
      </c>
      <c r="AD589" t="s">
        <v>72</v>
      </c>
      <c r="AE589" t="s">
        <v>76</v>
      </c>
      <c r="AG589" t="s">
        <v>77</v>
      </c>
    </row>
    <row r="590" spans="1:33" x14ac:dyDescent="0.25">
      <c r="B590" t="str">
        <f>"01226824"</f>
        <v>01226824</v>
      </c>
      <c r="C590" t="s">
        <v>6068</v>
      </c>
      <c r="D590" t="s">
        <v>6069</v>
      </c>
      <c r="E590" t="s">
        <v>6068</v>
      </c>
      <c r="F590">
        <v>160818293</v>
      </c>
      <c r="G590" t="s">
        <v>5717</v>
      </c>
      <c r="H590" t="s">
        <v>694</v>
      </c>
      <c r="J590" t="s">
        <v>3686</v>
      </c>
      <c r="L590" t="s">
        <v>92</v>
      </c>
      <c r="M590" t="s">
        <v>81</v>
      </c>
      <c r="W590" t="s">
        <v>6068</v>
      </c>
      <c r="X590" t="s">
        <v>6070</v>
      </c>
      <c r="Y590" t="s">
        <v>217</v>
      </c>
      <c r="Z590" t="s">
        <v>73</v>
      </c>
      <c r="AA590" t="str">
        <f>"14760-2539"</f>
        <v>14760-2539</v>
      </c>
      <c r="AB590" t="s">
        <v>88</v>
      </c>
      <c r="AC590" t="s">
        <v>75</v>
      </c>
      <c r="AD590" t="s">
        <v>72</v>
      </c>
      <c r="AE590" t="s">
        <v>76</v>
      </c>
      <c r="AG590" t="s">
        <v>77</v>
      </c>
    </row>
    <row r="591" spans="1:33" x14ac:dyDescent="0.25">
      <c r="A591" t="str">
        <f>"1992948475"</f>
        <v>1992948475</v>
      </c>
      <c r="B591" t="str">
        <f>"03276428"</f>
        <v>03276428</v>
      </c>
      <c r="C591" t="s">
        <v>6071</v>
      </c>
      <c r="D591" t="s">
        <v>6072</v>
      </c>
      <c r="E591" t="s">
        <v>6073</v>
      </c>
      <c r="G591" t="s">
        <v>4647</v>
      </c>
      <c r="H591" t="s">
        <v>2062</v>
      </c>
      <c r="J591" t="s">
        <v>4648</v>
      </c>
      <c r="L591" t="s">
        <v>80</v>
      </c>
      <c r="M591" t="s">
        <v>72</v>
      </c>
      <c r="R591" t="s">
        <v>6074</v>
      </c>
      <c r="W591" t="s">
        <v>6073</v>
      </c>
      <c r="X591" t="s">
        <v>1924</v>
      </c>
      <c r="Y591" t="s">
        <v>221</v>
      </c>
      <c r="Z591" t="s">
        <v>73</v>
      </c>
      <c r="AA591" t="str">
        <f>"14221-5367"</f>
        <v>14221-5367</v>
      </c>
      <c r="AB591" t="s">
        <v>74</v>
      </c>
      <c r="AC591" t="s">
        <v>75</v>
      </c>
      <c r="AD591" t="s">
        <v>72</v>
      </c>
      <c r="AE591" t="s">
        <v>76</v>
      </c>
      <c r="AF591" t="s">
        <v>3961</v>
      </c>
      <c r="AG591" t="s">
        <v>77</v>
      </c>
    </row>
    <row r="592" spans="1:33" x14ac:dyDescent="0.25">
      <c r="A592" t="str">
        <f>"1669782686"</f>
        <v>1669782686</v>
      </c>
      <c r="B592" t="str">
        <f>"04341071"</f>
        <v>04341071</v>
      </c>
      <c r="C592" t="s">
        <v>6075</v>
      </c>
      <c r="D592" t="s">
        <v>6076</v>
      </c>
      <c r="E592" t="s">
        <v>6077</v>
      </c>
      <c r="G592" t="s">
        <v>4768</v>
      </c>
      <c r="H592" t="s">
        <v>4769</v>
      </c>
      <c r="J592" t="s">
        <v>4770</v>
      </c>
      <c r="L592" t="s">
        <v>92</v>
      </c>
      <c r="M592" t="s">
        <v>72</v>
      </c>
      <c r="R592" t="s">
        <v>5469</v>
      </c>
      <c r="W592" t="s">
        <v>6077</v>
      </c>
      <c r="X592" t="s">
        <v>234</v>
      </c>
      <c r="Y592" t="s">
        <v>117</v>
      </c>
      <c r="Z592" t="s">
        <v>73</v>
      </c>
      <c r="AA592" t="str">
        <f>"14220-2039"</f>
        <v>14220-2039</v>
      </c>
      <c r="AB592" t="s">
        <v>112</v>
      </c>
      <c r="AC592" t="s">
        <v>75</v>
      </c>
      <c r="AD592" t="s">
        <v>72</v>
      </c>
      <c r="AE592" t="s">
        <v>76</v>
      </c>
      <c r="AF592" t="s">
        <v>3986</v>
      </c>
      <c r="AG592" t="s">
        <v>77</v>
      </c>
    </row>
    <row r="593" spans="1:33" x14ac:dyDescent="0.25">
      <c r="A593" t="str">
        <f>"1881699221"</f>
        <v>1881699221</v>
      </c>
      <c r="B593" t="str">
        <f>"00615196"</f>
        <v>00615196</v>
      </c>
      <c r="C593" t="s">
        <v>6078</v>
      </c>
      <c r="D593" t="s">
        <v>6079</v>
      </c>
      <c r="E593" t="s">
        <v>6080</v>
      </c>
      <c r="G593" t="s">
        <v>6081</v>
      </c>
      <c r="H593" t="s">
        <v>6082</v>
      </c>
      <c r="J593" t="s">
        <v>6083</v>
      </c>
      <c r="L593" t="s">
        <v>79</v>
      </c>
      <c r="M593" t="s">
        <v>72</v>
      </c>
      <c r="R593" t="s">
        <v>6084</v>
      </c>
      <c r="W593" t="s">
        <v>6080</v>
      </c>
      <c r="X593" t="s">
        <v>6085</v>
      </c>
      <c r="Y593" t="s">
        <v>1079</v>
      </c>
      <c r="Z593" t="s">
        <v>73</v>
      </c>
      <c r="AA593" t="str">
        <f>"14075-4507"</f>
        <v>14075-4507</v>
      </c>
      <c r="AB593" t="s">
        <v>74</v>
      </c>
      <c r="AC593" t="s">
        <v>75</v>
      </c>
      <c r="AD593" t="s">
        <v>72</v>
      </c>
      <c r="AE593" t="s">
        <v>76</v>
      </c>
      <c r="AF593" t="s">
        <v>3974</v>
      </c>
      <c r="AG593" t="s">
        <v>77</v>
      </c>
    </row>
    <row r="594" spans="1:33" x14ac:dyDescent="0.25">
      <c r="A594" t="str">
        <f>"1942303029"</f>
        <v>1942303029</v>
      </c>
      <c r="B594" t="str">
        <f>"01576076"</f>
        <v>01576076</v>
      </c>
      <c r="C594" t="s">
        <v>6086</v>
      </c>
      <c r="D594" t="s">
        <v>3248</v>
      </c>
      <c r="E594" t="s">
        <v>3249</v>
      </c>
      <c r="G594" t="s">
        <v>5402</v>
      </c>
      <c r="H594" t="s">
        <v>877</v>
      </c>
      <c r="J594" t="s">
        <v>5403</v>
      </c>
      <c r="L594" t="s">
        <v>80</v>
      </c>
      <c r="M594" t="s">
        <v>72</v>
      </c>
      <c r="R594" t="s">
        <v>3250</v>
      </c>
      <c r="W594" t="s">
        <v>3249</v>
      </c>
      <c r="X594" t="s">
        <v>1546</v>
      </c>
      <c r="Y594" t="s">
        <v>1130</v>
      </c>
      <c r="Z594" t="s">
        <v>73</v>
      </c>
      <c r="AA594" t="str">
        <f>"14136-1452"</f>
        <v>14136-1452</v>
      </c>
      <c r="AB594" t="s">
        <v>74</v>
      </c>
      <c r="AC594" t="s">
        <v>75</v>
      </c>
      <c r="AD594" t="s">
        <v>72</v>
      </c>
      <c r="AE594" t="s">
        <v>76</v>
      </c>
      <c r="AF594" t="s">
        <v>4049</v>
      </c>
      <c r="AG594" t="s">
        <v>77</v>
      </c>
    </row>
    <row r="595" spans="1:33" x14ac:dyDescent="0.25">
      <c r="A595" t="str">
        <f>"1568457182"</f>
        <v>1568457182</v>
      </c>
      <c r="B595" t="str">
        <f>"01088453"</f>
        <v>01088453</v>
      </c>
      <c r="C595" t="s">
        <v>6087</v>
      </c>
      <c r="D595" t="s">
        <v>705</v>
      </c>
      <c r="E595" t="s">
        <v>706</v>
      </c>
      <c r="G595" t="s">
        <v>6088</v>
      </c>
      <c r="H595" t="s">
        <v>623</v>
      </c>
      <c r="J595" t="s">
        <v>6089</v>
      </c>
      <c r="L595" t="s">
        <v>79</v>
      </c>
      <c r="M595" t="s">
        <v>72</v>
      </c>
      <c r="R595" t="s">
        <v>707</v>
      </c>
      <c r="W595" t="s">
        <v>708</v>
      </c>
      <c r="X595" t="s">
        <v>709</v>
      </c>
      <c r="Y595" t="s">
        <v>237</v>
      </c>
      <c r="Z595" t="s">
        <v>73</v>
      </c>
      <c r="AA595" t="str">
        <f>"14224-2655"</f>
        <v>14224-2655</v>
      </c>
      <c r="AB595" t="s">
        <v>74</v>
      </c>
      <c r="AC595" t="s">
        <v>75</v>
      </c>
      <c r="AD595" t="s">
        <v>72</v>
      </c>
      <c r="AE595" t="s">
        <v>76</v>
      </c>
      <c r="AF595" t="s">
        <v>3974</v>
      </c>
      <c r="AG595" t="s">
        <v>77</v>
      </c>
    </row>
    <row r="596" spans="1:33" x14ac:dyDescent="0.25">
      <c r="A596" t="str">
        <f>"1366476897"</f>
        <v>1366476897</v>
      </c>
      <c r="B596" t="str">
        <f>"01036382"</f>
        <v>01036382</v>
      </c>
      <c r="C596" t="s">
        <v>6090</v>
      </c>
      <c r="D596" t="s">
        <v>6091</v>
      </c>
      <c r="E596" t="s">
        <v>6092</v>
      </c>
      <c r="G596" t="s">
        <v>6093</v>
      </c>
      <c r="H596" t="s">
        <v>6094</v>
      </c>
      <c r="J596" t="s">
        <v>6095</v>
      </c>
      <c r="L596" t="s">
        <v>80</v>
      </c>
      <c r="M596" t="s">
        <v>72</v>
      </c>
      <c r="R596" t="s">
        <v>352</v>
      </c>
      <c r="W596" t="s">
        <v>6096</v>
      </c>
      <c r="X596" t="s">
        <v>6097</v>
      </c>
      <c r="Y596" t="s">
        <v>117</v>
      </c>
      <c r="Z596" t="s">
        <v>73</v>
      </c>
      <c r="AA596" t="str">
        <f>"14214-2692"</f>
        <v>14214-2692</v>
      </c>
      <c r="AB596" t="s">
        <v>74</v>
      </c>
      <c r="AC596" t="s">
        <v>75</v>
      </c>
      <c r="AD596" t="s">
        <v>72</v>
      </c>
      <c r="AE596" t="s">
        <v>76</v>
      </c>
      <c r="AF596" t="s">
        <v>3974</v>
      </c>
      <c r="AG596" t="s">
        <v>77</v>
      </c>
    </row>
    <row r="597" spans="1:33" x14ac:dyDescent="0.25">
      <c r="A597" t="str">
        <f>"1275526246"</f>
        <v>1275526246</v>
      </c>
      <c r="B597" t="str">
        <f>"00989919"</f>
        <v>00989919</v>
      </c>
      <c r="C597" t="s">
        <v>6098</v>
      </c>
      <c r="D597" t="s">
        <v>6099</v>
      </c>
      <c r="E597" t="s">
        <v>6100</v>
      </c>
      <c r="G597" t="s">
        <v>5151</v>
      </c>
      <c r="H597" t="s">
        <v>647</v>
      </c>
      <c r="J597" t="s">
        <v>5152</v>
      </c>
      <c r="L597" t="s">
        <v>79</v>
      </c>
      <c r="M597" t="s">
        <v>72</v>
      </c>
      <c r="R597" t="s">
        <v>6101</v>
      </c>
      <c r="W597" t="s">
        <v>6100</v>
      </c>
      <c r="X597" t="s">
        <v>1194</v>
      </c>
      <c r="Y597" t="s">
        <v>237</v>
      </c>
      <c r="Z597" t="s">
        <v>73</v>
      </c>
      <c r="AA597" t="str">
        <f>"14224-2646"</f>
        <v>14224-2646</v>
      </c>
      <c r="AB597" t="s">
        <v>74</v>
      </c>
      <c r="AC597" t="s">
        <v>75</v>
      </c>
      <c r="AD597" t="s">
        <v>72</v>
      </c>
      <c r="AE597" t="s">
        <v>76</v>
      </c>
      <c r="AF597" t="s">
        <v>3961</v>
      </c>
      <c r="AG597" t="s">
        <v>77</v>
      </c>
    </row>
    <row r="598" spans="1:33" x14ac:dyDescent="0.25">
      <c r="A598" t="str">
        <f>"1285608844"</f>
        <v>1285608844</v>
      </c>
      <c r="B598" t="str">
        <f>"02775928"</f>
        <v>02775928</v>
      </c>
      <c r="C598" t="s">
        <v>6102</v>
      </c>
      <c r="D598" t="s">
        <v>6103</v>
      </c>
      <c r="E598" t="s">
        <v>6104</v>
      </c>
      <c r="G598" t="s">
        <v>4797</v>
      </c>
      <c r="H598" t="s">
        <v>4798</v>
      </c>
      <c r="I598">
        <v>104</v>
      </c>
      <c r="J598" t="s">
        <v>4799</v>
      </c>
      <c r="L598" t="s">
        <v>80</v>
      </c>
      <c r="M598" t="s">
        <v>72</v>
      </c>
      <c r="R598" t="s">
        <v>6105</v>
      </c>
      <c r="W598" t="s">
        <v>6104</v>
      </c>
      <c r="X598" t="s">
        <v>286</v>
      </c>
      <c r="Y598" t="s">
        <v>242</v>
      </c>
      <c r="Z598" t="s">
        <v>73</v>
      </c>
      <c r="AA598" t="str">
        <f>"14701-7077"</f>
        <v>14701-7077</v>
      </c>
      <c r="AB598" t="s">
        <v>74</v>
      </c>
      <c r="AC598" t="s">
        <v>75</v>
      </c>
      <c r="AD598" t="s">
        <v>72</v>
      </c>
      <c r="AE598" t="s">
        <v>76</v>
      </c>
      <c r="AF598" t="s">
        <v>4049</v>
      </c>
      <c r="AG598" t="s">
        <v>77</v>
      </c>
    </row>
    <row r="599" spans="1:33" x14ac:dyDescent="0.25">
      <c r="A599" t="str">
        <f>"1508828906"</f>
        <v>1508828906</v>
      </c>
      <c r="B599" t="str">
        <f>"01086382"</f>
        <v>01086382</v>
      </c>
      <c r="C599" t="s">
        <v>6106</v>
      </c>
      <c r="D599" t="s">
        <v>2505</v>
      </c>
      <c r="E599" t="s">
        <v>2506</v>
      </c>
      <c r="G599" t="s">
        <v>5327</v>
      </c>
      <c r="H599" t="s">
        <v>579</v>
      </c>
      <c r="J599" t="s">
        <v>5328</v>
      </c>
      <c r="L599" t="s">
        <v>80</v>
      </c>
      <c r="M599" t="s">
        <v>72</v>
      </c>
      <c r="R599" t="s">
        <v>2507</v>
      </c>
      <c r="W599" t="s">
        <v>2506</v>
      </c>
      <c r="X599" t="s">
        <v>2508</v>
      </c>
      <c r="Y599" t="s">
        <v>117</v>
      </c>
      <c r="Z599" t="s">
        <v>73</v>
      </c>
      <c r="AA599" t="str">
        <f>"14201"</f>
        <v>14201</v>
      </c>
      <c r="AB599" t="s">
        <v>74</v>
      </c>
      <c r="AC599" t="s">
        <v>75</v>
      </c>
      <c r="AD599" t="s">
        <v>72</v>
      </c>
      <c r="AE599" t="s">
        <v>76</v>
      </c>
      <c r="AF599" t="s">
        <v>3961</v>
      </c>
      <c r="AG599" t="s">
        <v>77</v>
      </c>
    </row>
    <row r="600" spans="1:33" x14ac:dyDescent="0.25">
      <c r="A600" t="str">
        <f>"1245223437"</f>
        <v>1245223437</v>
      </c>
      <c r="B600" t="str">
        <f>"01188738"</f>
        <v>01188738</v>
      </c>
      <c r="C600" t="s">
        <v>6107</v>
      </c>
      <c r="D600" t="s">
        <v>2832</v>
      </c>
      <c r="E600" t="s">
        <v>2833</v>
      </c>
      <c r="G600" t="s">
        <v>5151</v>
      </c>
      <c r="H600" t="s">
        <v>647</v>
      </c>
      <c r="J600" t="s">
        <v>5152</v>
      </c>
      <c r="L600" t="s">
        <v>79</v>
      </c>
      <c r="M600" t="s">
        <v>72</v>
      </c>
      <c r="R600" t="s">
        <v>2834</v>
      </c>
      <c r="W600" t="s">
        <v>2833</v>
      </c>
      <c r="X600" t="s">
        <v>1194</v>
      </c>
      <c r="Y600" t="s">
        <v>237</v>
      </c>
      <c r="Z600" t="s">
        <v>73</v>
      </c>
      <c r="AA600" t="str">
        <f>"14224-2646"</f>
        <v>14224-2646</v>
      </c>
      <c r="AB600" t="s">
        <v>74</v>
      </c>
      <c r="AC600" t="s">
        <v>75</v>
      </c>
      <c r="AD600" t="s">
        <v>72</v>
      </c>
      <c r="AE600" t="s">
        <v>76</v>
      </c>
      <c r="AF600" t="s">
        <v>3961</v>
      </c>
      <c r="AG600" t="s">
        <v>77</v>
      </c>
    </row>
    <row r="601" spans="1:33" x14ac:dyDescent="0.25">
      <c r="A601" t="str">
        <f>"1053488247"</f>
        <v>1053488247</v>
      </c>
      <c r="B601" t="str">
        <f>"02832268"</f>
        <v>02832268</v>
      </c>
      <c r="C601" t="s">
        <v>6108</v>
      </c>
      <c r="D601" t="s">
        <v>3301</v>
      </c>
      <c r="E601" t="s">
        <v>3302</v>
      </c>
      <c r="G601" t="s">
        <v>5142</v>
      </c>
      <c r="H601" t="s">
        <v>1922</v>
      </c>
      <c r="J601" t="s">
        <v>5143</v>
      </c>
      <c r="L601" t="s">
        <v>79</v>
      </c>
      <c r="M601" t="s">
        <v>72</v>
      </c>
      <c r="R601" t="s">
        <v>3303</v>
      </c>
      <c r="W601" t="s">
        <v>3302</v>
      </c>
      <c r="X601" t="s">
        <v>1420</v>
      </c>
      <c r="Y601" t="s">
        <v>221</v>
      </c>
      <c r="Z601" t="s">
        <v>73</v>
      </c>
      <c r="AA601" t="str">
        <f>"14221-5367"</f>
        <v>14221-5367</v>
      </c>
      <c r="AB601" t="s">
        <v>74</v>
      </c>
      <c r="AC601" t="s">
        <v>75</v>
      </c>
      <c r="AD601" t="s">
        <v>72</v>
      </c>
      <c r="AE601" t="s">
        <v>76</v>
      </c>
      <c r="AF601" t="s">
        <v>3961</v>
      </c>
      <c r="AG601" t="s">
        <v>77</v>
      </c>
    </row>
    <row r="602" spans="1:33" x14ac:dyDescent="0.25">
      <c r="A602" t="str">
        <f>"1053382663"</f>
        <v>1053382663</v>
      </c>
      <c r="B602" t="str">
        <f>"02438851"</f>
        <v>02438851</v>
      </c>
      <c r="C602" t="s">
        <v>6109</v>
      </c>
      <c r="D602" t="s">
        <v>6110</v>
      </c>
      <c r="E602" t="s">
        <v>6111</v>
      </c>
      <c r="G602" t="s">
        <v>4101</v>
      </c>
      <c r="H602" t="s">
        <v>4102</v>
      </c>
      <c r="I602">
        <v>44</v>
      </c>
      <c r="J602" t="s">
        <v>4103</v>
      </c>
      <c r="L602" t="s">
        <v>80</v>
      </c>
      <c r="M602" t="s">
        <v>81</v>
      </c>
      <c r="R602" t="s">
        <v>6112</v>
      </c>
      <c r="W602" t="s">
        <v>6111</v>
      </c>
      <c r="X602" t="s">
        <v>4105</v>
      </c>
      <c r="Y602" t="s">
        <v>242</v>
      </c>
      <c r="Z602" t="s">
        <v>73</v>
      </c>
      <c r="AA602" t="str">
        <f>"14701-2519"</f>
        <v>14701-2519</v>
      </c>
      <c r="AB602" t="s">
        <v>74</v>
      </c>
      <c r="AC602" t="s">
        <v>75</v>
      </c>
      <c r="AD602" t="s">
        <v>72</v>
      </c>
      <c r="AE602" t="s">
        <v>76</v>
      </c>
      <c r="AF602" t="s">
        <v>4049</v>
      </c>
      <c r="AG602" t="s">
        <v>77</v>
      </c>
    </row>
    <row r="603" spans="1:33" x14ac:dyDescent="0.25">
      <c r="A603" t="str">
        <f>"1619901170"</f>
        <v>1619901170</v>
      </c>
      <c r="B603" t="str">
        <f>"01842699"</f>
        <v>01842699</v>
      </c>
      <c r="C603" t="s">
        <v>6113</v>
      </c>
      <c r="D603" t="s">
        <v>6114</v>
      </c>
      <c r="E603" t="s">
        <v>6115</v>
      </c>
      <c r="G603" t="s">
        <v>4647</v>
      </c>
      <c r="H603" t="s">
        <v>2062</v>
      </c>
      <c r="J603" t="s">
        <v>4648</v>
      </c>
      <c r="L603" t="s">
        <v>80</v>
      </c>
      <c r="M603" t="s">
        <v>72</v>
      </c>
      <c r="R603" t="s">
        <v>6116</v>
      </c>
      <c r="W603" t="s">
        <v>6115</v>
      </c>
      <c r="X603" t="s">
        <v>6115</v>
      </c>
      <c r="Y603" t="s">
        <v>117</v>
      </c>
      <c r="Z603" t="s">
        <v>73</v>
      </c>
      <c r="AA603" t="str">
        <f>"14226-4709"</f>
        <v>14226-4709</v>
      </c>
      <c r="AB603" t="s">
        <v>74</v>
      </c>
      <c r="AC603" t="s">
        <v>75</v>
      </c>
      <c r="AD603" t="s">
        <v>72</v>
      </c>
      <c r="AE603" t="s">
        <v>76</v>
      </c>
      <c r="AF603" t="s">
        <v>3961</v>
      </c>
      <c r="AG603" t="s">
        <v>77</v>
      </c>
    </row>
    <row r="604" spans="1:33" x14ac:dyDescent="0.25">
      <c r="A604" t="str">
        <f>"1568439222"</f>
        <v>1568439222</v>
      </c>
      <c r="B604" t="str">
        <f>"02731262"</f>
        <v>02731262</v>
      </c>
      <c r="C604" t="s">
        <v>6117</v>
      </c>
      <c r="D604" t="s">
        <v>6118</v>
      </c>
      <c r="E604" t="s">
        <v>6119</v>
      </c>
      <c r="G604" t="s">
        <v>6120</v>
      </c>
      <c r="H604" t="s">
        <v>6121</v>
      </c>
      <c r="J604" t="s">
        <v>6122</v>
      </c>
      <c r="L604" t="s">
        <v>79</v>
      </c>
      <c r="M604" t="s">
        <v>72</v>
      </c>
      <c r="R604" t="s">
        <v>6123</v>
      </c>
      <c r="W604" t="s">
        <v>6119</v>
      </c>
      <c r="X604" t="s">
        <v>301</v>
      </c>
      <c r="Y604" t="s">
        <v>117</v>
      </c>
      <c r="Z604" t="s">
        <v>73</v>
      </c>
      <c r="AA604" t="str">
        <f>"14214-2648"</f>
        <v>14214-2648</v>
      </c>
      <c r="AB604" t="s">
        <v>74</v>
      </c>
      <c r="AC604" t="s">
        <v>75</v>
      </c>
      <c r="AD604" t="s">
        <v>72</v>
      </c>
      <c r="AE604" t="s">
        <v>76</v>
      </c>
      <c r="AF604" t="s">
        <v>3974</v>
      </c>
      <c r="AG604" t="s">
        <v>77</v>
      </c>
    </row>
    <row r="605" spans="1:33" x14ac:dyDescent="0.25">
      <c r="A605" t="str">
        <f>"1174679880"</f>
        <v>1174679880</v>
      </c>
      <c r="B605" t="str">
        <f>"02621901"</f>
        <v>02621901</v>
      </c>
      <c r="C605" t="s">
        <v>6124</v>
      </c>
      <c r="D605" t="s">
        <v>2374</v>
      </c>
      <c r="E605" t="s">
        <v>2375</v>
      </c>
      <c r="G605" t="s">
        <v>5151</v>
      </c>
      <c r="H605" t="s">
        <v>647</v>
      </c>
      <c r="J605" t="s">
        <v>5152</v>
      </c>
      <c r="L605" t="s">
        <v>79</v>
      </c>
      <c r="M605" t="s">
        <v>72</v>
      </c>
      <c r="R605" t="s">
        <v>2376</v>
      </c>
      <c r="W605" t="s">
        <v>2375</v>
      </c>
      <c r="X605" t="s">
        <v>649</v>
      </c>
      <c r="Y605" t="s">
        <v>237</v>
      </c>
      <c r="Z605" t="s">
        <v>73</v>
      </c>
      <c r="AA605" t="str">
        <f>"14224-4638"</f>
        <v>14224-4638</v>
      </c>
      <c r="AB605" t="s">
        <v>74</v>
      </c>
      <c r="AC605" t="s">
        <v>75</v>
      </c>
      <c r="AD605" t="s">
        <v>72</v>
      </c>
      <c r="AE605" t="s">
        <v>76</v>
      </c>
      <c r="AF605" t="s">
        <v>3961</v>
      </c>
      <c r="AG605" t="s">
        <v>77</v>
      </c>
    </row>
    <row r="606" spans="1:33" x14ac:dyDescent="0.25">
      <c r="A606" t="str">
        <f>"1952329591"</f>
        <v>1952329591</v>
      </c>
      <c r="B606" t="str">
        <f>"02637929"</f>
        <v>02637929</v>
      </c>
      <c r="C606" t="s">
        <v>6125</v>
      </c>
      <c r="D606" t="s">
        <v>6126</v>
      </c>
      <c r="E606" t="s">
        <v>6127</v>
      </c>
      <c r="G606" t="s">
        <v>5351</v>
      </c>
      <c r="H606" t="s">
        <v>5352</v>
      </c>
      <c r="J606" t="s">
        <v>5353</v>
      </c>
      <c r="L606" t="s">
        <v>80</v>
      </c>
      <c r="M606" t="s">
        <v>72</v>
      </c>
      <c r="R606" t="s">
        <v>6128</v>
      </c>
      <c r="W606" t="s">
        <v>6127</v>
      </c>
      <c r="X606" t="s">
        <v>289</v>
      </c>
      <c r="Y606" t="s">
        <v>242</v>
      </c>
      <c r="Z606" t="s">
        <v>73</v>
      </c>
      <c r="AA606" t="str">
        <f>"14701-7087"</f>
        <v>14701-7087</v>
      </c>
      <c r="AB606" t="s">
        <v>74</v>
      </c>
      <c r="AC606" t="s">
        <v>75</v>
      </c>
      <c r="AD606" t="s">
        <v>72</v>
      </c>
      <c r="AE606" t="s">
        <v>76</v>
      </c>
      <c r="AF606" t="s">
        <v>4049</v>
      </c>
      <c r="AG606" t="s">
        <v>77</v>
      </c>
    </row>
    <row r="607" spans="1:33" x14ac:dyDescent="0.25">
      <c r="A607" t="str">
        <f>"1417987694"</f>
        <v>1417987694</v>
      </c>
      <c r="B607" t="str">
        <f>"01982223"</f>
        <v>01982223</v>
      </c>
      <c r="C607" t="s">
        <v>6129</v>
      </c>
      <c r="D607" t="s">
        <v>6130</v>
      </c>
      <c r="E607" t="s">
        <v>6131</v>
      </c>
      <c r="G607" t="s">
        <v>4647</v>
      </c>
      <c r="H607" t="s">
        <v>2062</v>
      </c>
      <c r="J607" t="s">
        <v>4648</v>
      </c>
      <c r="L607" t="s">
        <v>80</v>
      </c>
      <c r="M607" t="s">
        <v>72</v>
      </c>
      <c r="R607" t="s">
        <v>6132</v>
      </c>
      <c r="W607" t="s">
        <v>6131</v>
      </c>
      <c r="X607" t="s">
        <v>6133</v>
      </c>
      <c r="Y607" t="s">
        <v>228</v>
      </c>
      <c r="Z607" t="s">
        <v>73</v>
      </c>
      <c r="AA607" t="str">
        <f>"14226-2500"</f>
        <v>14226-2500</v>
      </c>
      <c r="AB607" t="s">
        <v>74</v>
      </c>
      <c r="AC607" t="s">
        <v>75</v>
      </c>
      <c r="AD607" t="s">
        <v>72</v>
      </c>
      <c r="AE607" t="s">
        <v>76</v>
      </c>
      <c r="AF607" t="s">
        <v>3961</v>
      </c>
      <c r="AG607" t="s">
        <v>77</v>
      </c>
    </row>
    <row r="608" spans="1:33" x14ac:dyDescent="0.25">
      <c r="A608" t="str">
        <f>"1144643974"</f>
        <v>1144643974</v>
      </c>
      <c r="C608" t="s">
        <v>6134</v>
      </c>
      <c r="G608" t="s">
        <v>396</v>
      </c>
      <c r="H608" t="s">
        <v>397</v>
      </c>
      <c r="J608" t="s">
        <v>398</v>
      </c>
      <c r="K608" t="s">
        <v>89</v>
      </c>
      <c r="L608" t="s">
        <v>92</v>
      </c>
      <c r="M608" t="s">
        <v>72</v>
      </c>
      <c r="R608" t="s">
        <v>2275</v>
      </c>
      <c r="S608" t="s">
        <v>682</v>
      </c>
      <c r="T608" t="s">
        <v>117</v>
      </c>
      <c r="U608" t="s">
        <v>73</v>
      </c>
      <c r="V608" t="str">
        <f>"142091912"</f>
        <v>142091912</v>
      </c>
      <c r="AC608" t="s">
        <v>75</v>
      </c>
      <c r="AD608" t="s">
        <v>72</v>
      </c>
      <c r="AE608" t="s">
        <v>93</v>
      </c>
      <c r="AF608" t="s">
        <v>4043</v>
      </c>
      <c r="AG608" t="s">
        <v>77</v>
      </c>
    </row>
    <row r="609" spans="1:33" x14ac:dyDescent="0.25">
      <c r="A609" t="str">
        <f>"1255403614"</f>
        <v>1255403614</v>
      </c>
      <c r="C609" t="s">
        <v>6135</v>
      </c>
      <c r="G609" t="s">
        <v>396</v>
      </c>
      <c r="H609" t="s">
        <v>397</v>
      </c>
      <c r="J609" t="s">
        <v>398</v>
      </c>
      <c r="K609" t="s">
        <v>89</v>
      </c>
      <c r="L609" t="s">
        <v>71</v>
      </c>
      <c r="M609" t="s">
        <v>72</v>
      </c>
      <c r="R609" t="s">
        <v>1956</v>
      </c>
      <c r="S609" t="s">
        <v>831</v>
      </c>
      <c r="T609" t="s">
        <v>117</v>
      </c>
      <c r="U609" t="s">
        <v>73</v>
      </c>
      <c r="V609" t="str">
        <f>"142242635"</f>
        <v>142242635</v>
      </c>
      <c r="AC609" t="s">
        <v>75</v>
      </c>
      <c r="AD609" t="s">
        <v>72</v>
      </c>
      <c r="AE609" t="s">
        <v>93</v>
      </c>
      <c r="AF609" t="s">
        <v>4043</v>
      </c>
      <c r="AG609" t="s">
        <v>77</v>
      </c>
    </row>
    <row r="610" spans="1:33" x14ac:dyDescent="0.25">
      <c r="A610" t="str">
        <f>"1215170030"</f>
        <v>1215170030</v>
      </c>
      <c r="B610" t="str">
        <f>"03725371"</f>
        <v>03725371</v>
      </c>
      <c r="C610" t="s">
        <v>6136</v>
      </c>
      <c r="D610" t="s">
        <v>2010</v>
      </c>
      <c r="E610" t="s">
        <v>2011</v>
      </c>
      <c r="G610" t="s">
        <v>396</v>
      </c>
      <c r="H610" t="s">
        <v>397</v>
      </c>
      <c r="J610" t="s">
        <v>398</v>
      </c>
      <c r="L610" t="s">
        <v>71</v>
      </c>
      <c r="M610" t="s">
        <v>72</v>
      </c>
      <c r="R610" t="s">
        <v>2012</v>
      </c>
      <c r="W610" t="s">
        <v>2011</v>
      </c>
      <c r="X610" t="s">
        <v>2013</v>
      </c>
      <c r="Y610" t="s">
        <v>117</v>
      </c>
      <c r="Z610" t="s">
        <v>73</v>
      </c>
      <c r="AA610" t="str">
        <f>"14202-1102"</f>
        <v>14202-1102</v>
      </c>
      <c r="AB610" t="s">
        <v>74</v>
      </c>
      <c r="AC610" t="s">
        <v>75</v>
      </c>
      <c r="AD610" t="s">
        <v>72</v>
      </c>
      <c r="AE610" t="s">
        <v>76</v>
      </c>
      <c r="AF610" t="s">
        <v>4043</v>
      </c>
      <c r="AG610" t="s">
        <v>77</v>
      </c>
    </row>
    <row r="611" spans="1:33" x14ac:dyDescent="0.25">
      <c r="A611" t="str">
        <f>"1982955282"</f>
        <v>1982955282</v>
      </c>
      <c r="C611" t="s">
        <v>6137</v>
      </c>
      <c r="G611" t="s">
        <v>396</v>
      </c>
      <c r="H611" t="s">
        <v>397</v>
      </c>
      <c r="J611" t="s">
        <v>398</v>
      </c>
      <c r="K611" t="s">
        <v>89</v>
      </c>
      <c r="L611" t="s">
        <v>92</v>
      </c>
      <c r="M611" t="s">
        <v>72</v>
      </c>
      <c r="R611" t="s">
        <v>3671</v>
      </c>
      <c r="S611" t="s">
        <v>3672</v>
      </c>
      <c r="T611" t="s">
        <v>308</v>
      </c>
      <c r="U611" t="s">
        <v>73</v>
      </c>
      <c r="V611" t="str">
        <f>"144541263"</f>
        <v>144541263</v>
      </c>
      <c r="AC611" t="s">
        <v>75</v>
      </c>
      <c r="AD611" t="s">
        <v>72</v>
      </c>
      <c r="AE611" t="s">
        <v>93</v>
      </c>
      <c r="AF611" t="s">
        <v>4043</v>
      </c>
      <c r="AG611" t="s">
        <v>77</v>
      </c>
    </row>
    <row r="612" spans="1:33" x14ac:dyDescent="0.25">
      <c r="A612" t="str">
        <f>"1164628715"</f>
        <v>1164628715</v>
      </c>
      <c r="C612" t="s">
        <v>6138</v>
      </c>
      <c r="G612" t="s">
        <v>396</v>
      </c>
      <c r="H612" t="s">
        <v>397</v>
      </c>
      <c r="J612" t="s">
        <v>398</v>
      </c>
      <c r="K612" t="s">
        <v>89</v>
      </c>
      <c r="L612" t="s">
        <v>71</v>
      </c>
      <c r="M612" t="s">
        <v>72</v>
      </c>
      <c r="R612" t="s">
        <v>2835</v>
      </c>
      <c r="S612" t="s">
        <v>486</v>
      </c>
      <c r="T612" t="s">
        <v>311</v>
      </c>
      <c r="U612" t="s">
        <v>73</v>
      </c>
      <c r="V612" t="str">
        <f>"145691326"</f>
        <v>145691326</v>
      </c>
      <c r="AC612" t="s">
        <v>75</v>
      </c>
      <c r="AD612" t="s">
        <v>72</v>
      </c>
      <c r="AE612" t="s">
        <v>93</v>
      </c>
      <c r="AF612" t="s">
        <v>4043</v>
      </c>
      <c r="AG612" t="s">
        <v>77</v>
      </c>
    </row>
    <row r="613" spans="1:33" x14ac:dyDescent="0.25">
      <c r="A613" t="str">
        <f>"1346663291"</f>
        <v>1346663291</v>
      </c>
      <c r="B613" t="str">
        <f>"03794685"</f>
        <v>03794685</v>
      </c>
      <c r="C613" t="s">
        <v>6139</v>
      </c>
      <c r="D613" t="s">
        <v>2322</v>
      </c>
      <c r="E613" t="s">
        <v>2323</v>
      </c>
      <c r="G613" t="s">
        <v>396</v>
      </c>
      <c r="H613" t="s">
        <v>397</v>
      </c>
      <c r="J613" t="s">
        <v>398</v>
      </c>
      <c r="L613" t="s">
        <v>71</v>
      </c>
      <c r="M613" t="s">
        <v>72</v>
      </c>
      <c r="R613" t="s">
        <v>2323</v>
      </c>
      <c r="W613" t="s">
        <v>2324</v>
      </c>
      <c r="X613" t="s">
        <v>682</v>
      </c>
      <c r="Y613" t="s">
        <v>117</v>
      </c>
      <c r="Z613" t="s">
        <v>73</v>
      </c>
      <c r="AA613" t="str">
        <f>"14209-1912"</f>
        <v>14209-1912</v>
      </c>
      <c r="AB613" t="s">
        <v>105</v>
      </c>
      <c r="AC613" t="s">
        <v>75</v>
      </c>
      <c r="AD613" t="s">
        <v>72</v>
      </c>
      <c r="AE613" t="s">
        <v>76</v>
      </c>
      <c r="AF613" t="s">
        <v>4043</v>
      </c>
      <c r="AG613" t="s">
        <v>77</v>
      </c>
    </row>
    <row r="614" spans="1:33" x14ac:dyDescent="0.25">
      <c r="A614" t="str">
        <f>"1760883540"</f>
        <v>1760883540</v>
      </c>
      <c r="C614" t="s">
        <v>6140</v>
      </c>
      <c r="G614" t="s">
        <v>396</v>
      </c>
      <c r="H614" t="s">
        <v>397</v>
      </c>
      <c r="J614" t="s">
        <v>398</v>
      </c>
      <c r="K614" t="s">
        <v>89</v>
      </c>
      <c r="L614" t="s">
        <v>92</v>
      </c>
      <c r="M614" t="s">
        <v>72</v>
      </c>
      <c r="R614" t="s">
        <v>770</v>
      </c>
      <c r="S614" t="s">
        <v>682</v>
      </c>
      <c r="T614" t="s">
        <v>117</v>
      </c>
      <c r="U614" t="s">
        <v>73</v>
      </c>
      <c r="V614" t="str">
        <f>"142091912"</f>
        <v>142091912</v>
      </c>
      <c r="AC614" t="s">
        <v>75</v>
      </c>
      <c r="AD614" t="s">
        <v>72</v>
      </c>
      <c r="AE614" t="s">
        <v>93</v>
      </c>
      <c r="AF614" t="s">
        <v>4043</v>
      </c>
      <c r="AG614" t="s">
        <v>77</v>
      </c>
    </row>
    <row r="615" spans="1:33" x14ac:dyDescent="0.25">
      <c r="A615" t="str">
        <f>"1013169309"</f>
        <v>1013169309</v>
      </c>
      <c r="C615" t="s">
        <v>6141</v>
      </c>
      <c r="G615" t="s">
        <v>396</v>
      </c>
      <c r="H615" t="s">
        <v>397</v>
      </c>
      <c r="J615" t="s">
        <v>398</v>
      </c>
      <c r="K615" t="s">
        <v>89</v>
      </c>
      <c r="L615" t="s">
        <v>92</v>
      </c>
      <c r="M615" t="s">
        <v>72</v>
      </c>
      <c r="R615" t="s">
        <v>1885</v>
      </c>
      <c r="S615" t="s">
        <v>680</v>
      </c>
      <c r="T615" t="s">
        <v>117</v>
      </c>
      <c r="U615" t="s">
        <v>73</v>
      </c>
      <c r="V615" t="str">
        <f>"142102324"</f>
        <v>142102324</v>
      </c>
      <c r="AC615" t="s">
        <v>75</v>
      </c>
      <c r="AD615" t="s">
        <v>72</v>
      </c>
      <c r="AE615" t="s">
        <v>93</v>
      </c>
      <c r="AF615" t="s">
        <v>4043</v>
      </c>
      <c r="AG615" t="s">
        <v>77</v>
      </c>
    </row>
    <row r="616" spans="1:33" x14ac:dyDescent="0.25">
      <c r="A616" t="str">
        <f>"1790839447"</f>
        <v>1790839447</v>
      </c>
      <c r="C616" t="s">
        <v>6142</v>
      </c>
      <c r="G616" t="s">
        <v>396</v>
      </c>
      <c r="H616" t="s">
        <v>397</v>
      </c>
      <c r="J616" t="s">
        <v>398</v>
      </c>
      <c r="K616" t="s">
        <v>89</v>
      </c>
      <c r="L616" t="s">
        <v>71</v>
      </c>
      <c r="M616" t="s">
        <v>72</v>
      </c>
      <c r="R616" t="s">
        <v>3585</v>
      </c>
      <c r="S616" t="s">
        <v>3586</v>
      </c>
      <c r="T616" t="s">
        <v>392</v>
      </c>
      <c r="U616" t="s">
        <v>73</v>
      </c>
      <c r="V616" t="str">
        <f>"141209520"</f>
        <v>141209520</v>
      </c>
      <c r="AC616" t="s">
        <v>75</v>
      </c>
      <c r="AD616" t="s">
        <v>72</v>
      </c>
      <c r="AE616" t="s">
        <v>93</v>
      </c>
      <c r="AF616" t="s">
        <v>4043</v>
      </c>
      <c r="AG616" t="s">
        <v>77</v>
      </c>
    </row>
    <row r="617" spans="1:33" x14ac:dyDescent="0.25">
      <c r="A617" t="str">
        <f>"1902967656"</f>
        <v>1902967656</v>
      </c>
      <c r="C617" t="s">
        <v>6143</v>
      </c>
      <c r="G617" t="s">
        <v>396</v>
      </c>
      <c r="H617" t="s">
        <v>397</v>
      </c>
      <c r="J617" t="s">
        <v>398</v>
      </c>
      <c r="K617" t="s">
        <v>89</v>
      </c>
      <c r="L617" t="s">
        <v>92</v>
      </c>
      <c r="M617" t="s">
        <v>72</v>
      </c>
      <c r="R617" t="s">
        <v>1758</v>
      </c>
      <c r="S617" t="s">
        <v>1759</v>
      </c>
      <c r="T617" t="s">
        <v>237</v>
      </c>
      <c r="U617" t="s">
        <v>73</v>
      </c>
      <c r="V617" t="str">
        <f>"142242635"</f>
        <v>142242635</v>
      </c>
      <c r="AC617" t="s">
        <v>75</v>
      </c>
      <c r="AD617" t="s">
        <v>72</v>
      </c>
      <c r="AE617" t="s">
        <v>93</v>
      </c>
      <c r="AF617" t="s">
        <v>4043</v>
      </c>
      <c r="AG617" t="s">
        <v>77</v>
      </c>
    </row>
    <row r="618" spans="1:33" x14ac:dyDescent="0.25">
      <c r="A618" t="str">
        <f>"1982757605"</f>
        <v>1982757605</v>
      </c>
      <c r="B618" t="str">
        <f>"03787419"</f>
        <v>03787419</v>
      </c>
      <c r="C618" t="s">
        <v>6144</v>
      </c>
      <c r="D618" t="s">
        <v>3665</v>
      </c>
      <c r="E618" t="s">
        <v>3666</v>
      </c>
      <c r="G618" t="s">
        <v>396</v>
      </c>
      <c r="H618" t="s">
        <v>397</v>
      </c>
      <c r="J618" t="s">
        <v>398</v>
      </c>
      <c r="L618" t="s">
        <v>71</v>
      </c>
      <c r="M618" t="s">
        <v>72</v>
      </c>
      <c r="R618" t="s">
        <v>3667</v>
      </c>
      <c r="W618" t="s">
        <v>3666</v>
      </c>
      <c r="X618" t="s">
        <v>1846</v>
      </c>
      <c r="Y618" t="s">
        <v>117</v>
      </c>
      <c r="Z618" t="s">
        <v>73</v>
      </c>
      <c r="AA618" t="str">
        <f>"14213-2116"</f>
        <v>14213-2116</v>
      </c>
      <c r="AB618" t="s">
        <v>104</v>
      </c>
      <c r="AC618" t="s">
        <v>75</v>
      </c>
      <c r="AD618" t="s">
        <v>72</v>
      </c>
      <c r="AE618" t="s">
        <v>76</v>
      </c>
      <c r="AF618" t="s">
        <v>4043</v>
      </c>
      <c r="AG618" t="s">
        <v>77</v>
      </c>
    </row>
    <row r="619" spans="1:33" x14ac:dyDescent="0.25">
      <c r="A619" t="str">
        <f>"1548312572"</f>
        <v>1548312572</v>
      </c>
      <c r="B619" t="str">
        <f>"04012915"</f>
        <v>04012915</v>
      </c>
      <c r="C619" t="s">
        <v>6145</v>
      </c>
      <c r="D619" t="s">
        <v>757</v>
      </c>
      <c r="E619" t="s">
        <v>758</v>
      </c>
      <c r="G619" t="s">
        <v>396</v>
      </c>
      <c r="H619" t="s">
        <v>397</v>
      </c>
      <c r="J619" t="s">
        <v>398</v>
      </c>
      <c r="L619" t="s">
        <v>92</v>
      </c>
      <c r="M619" t="s">
        <v>72</v>
      </c>
      <c r="R619" t="s">
        <v>759</v>
      </c>
      <c r="W619" t="s">
        <v>758</v>
      </c>
      <c r="X619" t="s">
        <v>680</v>
      </c>
      <c r="Y619" t="s">
        <v>117</v>
      </c>
      <c r="Z619" t="s">
        <v>73</v>
      </c>
      <c r="AA619" t="str">
        <f>"14210-2324"</f>
        <v>14210-2324</v>
      </c>
      <c r="AB619" t="s">
        <v>104</v>
      </c>
      <c r="AC619" t="s">
        <v>75</v>
      </c>
      <c r="AD619" t="s">
        <v>72</v>
      </c>
      <c r="AE619" t="s">
        <v>76</v>
      </c>
      <c r="AF619" t="s">
        <v>4043</v>
      </c>
      <c r="AG619" t="s">
        <v>77</v>
      </c>
    </row>
    <row r="620" spans="1:33" x14ac:dyDescent="0.25">
      <c r="A620" t="str">
        <f>"1821061227"</f>
        <v>1821061227</v>
      </c>
      <c r="B620" t="str">
        <f>"01077063"</f>
        <v>01077063</v>
      </c>
      <c r="C620" t="s">
        <v>6146</v>
      </c>
      <c r="D620" t="s">
        <v>2431</v>
      </c>
      <c r="E620" t="s">
        <v>2432</v>
      </c>
      <c r="G620" t="s">
        <v>396</v>
      </c>
      <c r="H620" t="s">
        <v>397</v>
      </c>
      <c r="J620" t="s">
        <v>398</v>
      </c>
      <c r="L620" t="s">
        <v>96</v>
      </c>
      <c r="M620" t="s">
        <v>81</v>
      </c>
      <c r="R620" t="s">
        <v>2433</v>
      </c>
      <c r="W620" t="s">
        <v>2432</v>
      </c>
      <c r="X620" t="s">
        <v>295</v>
      </c>
      <c r="Y620" t="s">
        <v>117</v>
      </c>
      <c r="Z620" t="s">
        <v>73</v>
      </c>
      <c r="AA620" t="str">
        <f>"14215-3021"</f>
        <v>14215-3021</v>
      </c>
      <c r="AB620" t="s">
        <v>74</v>
      </c>
      <c r="AC620" t="s">
        <v>75</v>
      </c>
      <c r="AD620" t="s">
        <v>72</v>
      </c>
      <c r="AE620" t="s">
        <v>76</v>
      </c>
      <c r="AF620" t="s">
        <v>4043</v>
      </c>
      <c r="AG620" t="s">
        <v>77</v>
      </c>
    </row>
    <row r="621" spans="1:33" x14ac:dyDescent="0.25">
      <c r="A621" t="str">
        <f>"1396181053"</f>
        <v>1396181053</v>
      </c>
      <c r="C621" t="s">
        <v>6147</v>
      </c>
      <c r="G621" t="s">
        <v>396</v>
      </c>
      <c r="H621" t="s">
        <v>397</v>
      </c>
      <c r="J621" t="s">
        <v>398</v>
      </c>
      <c r="K621" t="s">
        <v>89</v>
      </c>
      <c r="L621" t="s">
        <v>92</v>
      </c>
      <c r="M621" t="s">
        <v>72</v>
      </c>
      <c r="R621" t="s">
        <v>719</v>
      </c>
      <c r="S621" t="s">
        <v>486</v>
      </c>
      <c r="T621" t="s">
        <v>311</v>
      </c>
      <c r="U621" t="s">
        <v>73</v>
      </c>
      <c r="V621" t="str">
        <f>"145691326"</f>
        <v>145691326</v>
      </c>
      <c r="AC621" t="s">
        <v>75</v>
      </c>
      <c r="AD621" t="s">
        <v>72</v>
      </c>
      <c r="AE621" t="s">
        <v>93</v>
      </c>
      <c r="AF621" t="s">
        <v>4043</v>
      </c>
      <c r="AG621" t="s">
        <v>77</v>
      </c>
    </row>
    <row r="622" spans="1:33" x14ac:dyDescent="0.25">
      <c r="A622" t="str">
        <f>"1770918716"</f>
        <v>1770918716</v>
      </c>
      <c r="B622" t="str">
        <f>"04228828"</f>
        <v>04228828</v>
      </c>
      <c r="C622" t="s">
        <v>6148</v>
      </c>
      <c r="D622" t="s">
        <v>675</v>
      </c>
      <c r="E622" t="s">
        <v>676</v>
      </c>
      <c r="G622" t="s">
        <v>396</v>
      </c>
      <c r="H622" t="s">
        <v>397</v>
      </c>
      <c r="J622" t="s">
        <v>398</v>
      </c>
      <c r="L622" t="s">
        <v>71</v>
      </c>
      <c r="M622" t="s">
        <v>72</v>
      </c>
      <c r="R622" t="s">
        <v>677</v>
      </c>
      <c r="W622" t="s">
        <v>676</v>
      </c>
      <c r="X622" t="s">
        <v>678</v>
      </c>
      <c r="Y622" t="s">
        <v>307</v>
      </c>
      <c r="Z622" t="s">
        <v>73</v>
      </c>
      <c r="AA622" t="str">
        <f>"14020-3444"</f>
        <v>14020-3444</v>
      </c>
      <c r="AB622" t="s">
        <v>104</v>
      </c>
      <c r="AC622" t="s">
        <v>75</v>
      </c>
      <c r="AD622" t="s">
        <v>72</v>
      </c>
      <c r="AE622" t="s">
        <v>76</v>
      </c>
      <c r="AG622" t="s">
        <v>77</v>
      </c>
    </row>
    <row r="623" spans="1:33" x14ac:dyDescent="0.25">
      <c r="A623" t="str">
        <f>"1942647797"</f>
        <v>1942647797</v>
      </c>
      <c r="B623" t="str">
        <f>"03638864"</f>
        <v>03638864</v>
      </c>
      <c r="C623" t="s">
        <v>6149</v>
      </c>
      <c r="D623" t="s">
        <v>2474</v>
      </c>
      <c r="E623" t="s">
        <v>2475</v>
      </c>
      <c r="G623" t="s">
        <v>396</v>
      </c>
      <c r="H623" t="s">
        <v>397</v>
      </c>
      <c r="J623" t="s">
        <v>398</v>
      </c>
      <c r="L623" t="s">
        <v>71</v>
      </c>
      <c r="M623" t="s">
        <v>72</v>
      </c>
      <c r="R623" t="s">
        <v>2476</v>
      </c>
      <c r="W623" t="s">
        <v>2475</v>
      </c>
      <c r="X623" t="s">
        <v>2477</v>
      </c>
      <c r="Y623" t="s">
        <v>326</v>
      </c>
      <c r="Z623" t="s">
        <v>73</v>
      </c>
      <c r="AA623" t="str">
        <f>"14127-0631"</f>
        <v>14127-0631</v>
      </c>
      <c r="AB623" t="s">
        <v>105</v>
      </c>
      <c r="AC623" t="s">
        <v>75</v>
      </c>
      <c r="AD623" t="s">
        <v>72</v>
      </c>
      <c r="AE623" t="s">
        <v>76</v>
      </c>
      <c r="AF623" t="s">
        <v>4043</v>
      </c>
      <c r="AG623" t="s">
        <v>77</v>
      </c>
    </row>
    <row r="624" spans="1:33" x14ac:dyDescent="0.25">
      <c r="A624" t="str">
        <f>"1891867289"</f>
        <v>1891867289</v>
      </c>
      <c r="B624" t="str">
        <f>"03534094"</f>
        <v>03534094</v>
      </c>
      <c r="C624" t="s">
        <v>6150</v>
      </c>
      <c r="D624" t="s">
        <v>2114</v>
      </c>
      <c r="E624" t="s">
        <v>2115</v>
      </c>
      <c r="G624" t="s">
        <v>396</v>
      </c>
      <c r="H624" t="s">
        <v>397</v>
      </c>
      <c r="J624" t="s">
        <v>398</v>
      </c>
      <c r="L624" t="s">
        <v>71</v>
      </c>
      <c r="M624" t="s">
        <v>72</v>
      </c>
      <c r="R624" t="s">
        <v>2116</v>
      </c>
      <c r="W624" t="s">
        <v>2115</v>
      </c>
      <c r="X624" t="s">
        <v>1092</v>
      </c>
      <c r="Y624" t="s">
        <v>117</v>
      </c>
      <c r="Z624" t="s">
        <v>73</v>
      </c>
      <c r="AA624" t="str">
        <f>"14209-2111"</f>
        <v>14209-2111</v>
      </c>
      <c r="AB624" t="s">
        <v>105</v>
      </c>
      <c r="AC624" t="s">
        <v>75</v>
      </c>
      <c r="AD624" t="s">
        <v>72</v>
      </c>
      <c r="AE624" t="s">
        <v>76</v>
      </c>
      <c r="AF624" t="s">
        <v>4043</v>
      </c>
      <c r="AG624" t="s">
        <v>77</v>
      </c>
    </row>
    <row r="625" spans="1:33" x14ac:dyDescent="0.25">
      <c r="A625" t="str">
        <f>"1558433474"</f>
        <v>1558433474</v>
      </c>
      <c r="C625" t="s">
        <v>6151</v>
      </c>
      <c r="G625" t="s">
        <v>396</v>
      </c>
      <c r="H625" t="s">
        <v>397</v>
      </c>
      <c r="J625" t="s">
        <v>398</v>
      </c>
      <c r="K625" t="s">
        <v>89</v>
      </c>
      <c r="L625" t="s">
        <v>92</v>
      </c>
      <c r="M625" t="s">
        <v>72</v>
      </c>
      <c r="R625" t="s">
        <v>1249</v>
      </c>
      <c r="S625" t="s">
        <v>831</v>
      </c>
      <c r="T625" t="s">
        <v>237</v>
      </c>
      <c r="U625" t="s">
        <v>73</v>
      </c>
      <c r="V625" t="str">
        <f>"142242635"</f>
        <v>142242635</v>
      </c>
      <c r="AC625" t="s">
        <v>75</v>
      </c>
      <c r="AD625" t="s">
        <v>72</v>
      </c>
      <c r="AE625" t="s">
        <v>93</v>
      </c>
      <c r="AF625" t="s">
        <v>4043</v>
      </c>
      <c r="AG625" t="s">
        <v>77</v>
      </c>
    </row>
    <row r="626" spans="1:33" x14ac:dyDescent="0.25">
      <c r="A626" t="str">
        <f>"1295169555"</f>
        <v>1295169555</v>
      </c>
      <c r="C626" t="s">
        <v>6152</v>
      </c>
      <c r="G626" t="s">
        <v>396</v>
      </c>
      <c r="H626" t="s">
        <v>397</v>
      </c>
      <c r="J626" t="s">
        <v>398</v>
      </c>
      <c r="K626" t="s">
        <v>89</v>
      </c>
      <c r="L626" t="s">
        <v>92</v>
      </c>
      <c r="M626" t="s">
        <v>72</v>
      </c>
      <c r="R626" t="s">
        <v>1876</v>
      </c>
      <c r="S626" t="s">
        <v>682</v>
      </c>
      <c r="T626" t="s">
        <v>117</v>
      </c>
      <c r="U626" t="s">
        <v>73</v>
      </c>
      <c r="V626" t="str">
        <f>"142091912"</f>
        <v>142091912</v>
      </c>
      <c r="AC626" t="s">
        <v>75</v>
      </c>
      <c r="AD626" t="s">
        <v>72</v>
      </c>
      <c r="AE626" t="s">
        <v>93</v>
      </c>
      <c r="AG626" t="s">
        <v>77</v>
      </c>
    </row>
    <row r="627" spans="1:33" x14ac:dyDescent="0.25">
      <c r="A627" t="str">
        <f>"1285037606"</f>
        <v>1285037606</v>
      </c>
      <c r="C627" t="s">
        <v>6153</v>
      </c>
      <c r="G627" t="s">
        <v>396</v>
      </c>
      <c r="H627" t="s">
        <v>397</v>
      </c>
      <c r="J627" t="s">
        <v>398</v>
      </c>
      <c r="K627" t="s">
        <v>89</v>
      </c>
      <c r="L627" t="s">
        <v>92</v>
      </c>
      <c r="M627" t="s">
        <v>72</v>
      </c>
      <c r="R627" t="s">
        <v>2089</v>
      </c>
      <c r="S627" t="s">
        <v>413</v>
      </c>
      <c r="T627" t="s">
        <v>326</v>
      </c>
      <c r="U627" t="s">
        <v>73</v>
      </c>
      <c r="V627" t="str">
        <f>"141272600"</f>
        <v>141272600</v>
      </c>
      <c r="AC627" t="s">
        <v>75</v>
      </c>
      <c r="AD627" t="s">
        <v>72</v>
      </c>
      <c r="AE627" t="s">
        <v>93</v>
      </c>
      <c r="AF627" t="s">
        <v>4043</v>
      </c>
      <c r="AG627" t="s">
        <v>77</v>
      </c>
    </row>
    <row r="628" spans="1:33" x14ac:dyDescent="0.25">
      <c r="A628" t="str">
        <f>"1710067780"</f>
        <v>1710067780</v>
      </c>
      <c r="C628" t="s">
        <v>6154</v>
      </c>
      <c r="G628" t="s">
        <v>396</v>
      </c>
      <c r="H628" t="s">
        <v>397</v>
      </c>
      <c r="J628" t="s">
        <v>398</v>
      </c>
      <c r="K628" t="s">
        <v>89</v>
      </c>
      <c r="L628" t="s">
        <v>92</v>
      </c>
      <c r="M628" t="s">
        <v>72</v>
      </c>
      <c r="R628" t="s">
        <v>2121</v>
      </c>
      <c r="S628" t="s">
        <v>831</v>
      </c>
      <c r="T628" t="s">
        <v>237</v>
      </c>
      <c r="U628" t="s">
        <v>73</v>
      </c>
      <c r="V628" t="str">
        <f>"142242635"</f>
        <v>142242635</v>
      </c>
      <c r="AC628" t="s">
        <v>75</v>
      </c>
      <c r="AD628" t="s">
        <v>72</v>
      </c>
      <c r="AE628" t="s">
        <v>93</v>
      </c>
      <c r="AF628" t="s">
        <v>4043</v>
      </c>
      <c r="AG628" t="s">
        <v>77</v>
      </c>
    </row>
    <row r="629" spans="1:33" x14ac:dyDescent="0.25">
      <c r="A629" t="str">
        <f>"1215020235"</f>
        <v>1215020235</v>
      </c>
      <c r="B629" t="str">
        <f>"01402175"</f>
        <v>01402175</v>
      </c>
      <c r="C629" t="s">
        <v>6155</v>
      </c>
      <c r="D629" t="s">
        <v>1822</v>
      </c>
      <c r="E629" t="s">
        <v>1823</v>
      </c>
      <c r="G629" t="s">
        <v>396</v>
      </c>
      <c r="H629" t="s">
        <v>397</v>
      </c>
      <c r="J629" t="s">
        <v>398</v>
      </c>
      <c r="L629" t="s">
        <v>71</v>
      </c>
      <c r="M629" t="s">
        <v>81</v>
      </c>
      <c r="R629" t="s">
        <v>1824</v>
      </c>
      <c r="W629" t="s">
        <v>1823</v>
      </c>
      <c r="X629" t="s">
        <v>1825</v>
      </c>
      <c r="Y629" t="s">
        <v>117</v>
      </c>
      <c r="Z629" t="s">
        <v>73</v>
      </c>
      <c r="AA629" t="str">
        <f>"14215-3021"</f>
        <v>14215-3021</v>
      </c>
      <c r="AB629" t="s">
        <v>74</v>
      </c>
      <c r="AC629" t="s">
        <v>75</v>
      </c>
      <c r="AD629" t="s">
        <v>72</v>
      </c>
      <c r="AE629" t="s">
        <v>76</v>
      </c>
      <c r="AF629" t="s">
        <v>4043</v>
      </c>
      <c r="AG629" t="s">
        <v>77</v>
      </c>
    </row>
    <row r="630" spans="1:33" x14ac:dyDescent="0.25">
      <c r="A630" t="str">
        <f>"1508119884"</f>
        <v>1508119884</v>
      </c>
      <c r="B630" t="str">
        <f>"03527635"</f>
        <v>03527635</v>
      </c>
      <c r="C630" t="s">
        <v>6156</v>
      </c>
      <c r="D630" t="s">
        <v>457</v>
      </c>
      <c r="E630" t="s">
        <v>458</v>
      </c>
      <c r="G630" t="s">
        <v>6157</v>
      </c>
      <c r="H630" t="s">
        <v>6158</v>
      </c>
      <c r="J630" t="s">
        <v>6159</v>
      </c>
      <c r="L630" t="s">
        <v>125</v>
      </c>
      <c r="M630" t="s">
        <v>81</v>
      </c>
      <c r="R630" t="s">
        <v>459</v>
      </c>
      <c r="W630" t="s">
        <v>459</v>
      </c>
      <c r="X630" t="s">
        <v>6160</v>
      </c>
      <c r="Y630" t="s">
        <v>343</v>
      </c>
      <c r="Z630" t="s">
        <v>73</v>
      </c>
      <c r="AA630" t="str">
        <f>"14411-9709"</f>
        <v>14411-9709</v>
      </c>
      <c r="AB630" t="s">
        <v>83</v>
      </c>
      <c r="AC630" t="s">
        <v>75</v>
      </c>
      <c r="AD630" t="s">
        <v>72</v>
      </c>
      <c r="AE630" t="s">
        <v>76</v>
      </c>
      <c r="AF630" t="s">
        <v>3986</v>
      </c>
      <c r="AG630" t="s">
        <v>77</v>
      </c>
    </row>
    <row r="631" spans="1:33" x14ac:dyDescent="0.25">
      <c r="A631" t="str">
        <f>"1609812635"</f>
        <v>1609812635</v>
      </c>
      <c r="B631" t="str">
        <f>"01375075"</f>
        <v>01375075</v>
      </c>
      <c r="C631" t="s">
        <v>6161</v>
      </c>
      <c r="D631" t="s">
        <v>1378</v>
      </c>
      <c r="E631" t="s">
        <v>1379</v>
      </c>
      <c r="G631" t="s">
        <v>6161</v>
      </c>
      <c r="H631" t="s">
        <v>1042</v>
      </c>
      <c r="J631" t="s">
        <v>6162</v>
      </c>
      <c r="L631" t="s">
        <v>71</v>
      </c>
      <c r="M631" t="s">
        <v>72</v>
      </c>
      <c r="R631" t="s">
        <v>1380</v>
      </c>
      <c r="W631" t="s">
        <v>1379</v>
      </c>
      <c r="X631" t="s">
        <v>301</v>
      </c>
      <c r="Y631" t="s">
        <v>117</v>
      </c>
      <c r="Z631" t="s">
        <v>73</v>
      </c>
      <c r="AA631" t="str">
        <f>"14214-2648"</f>
        <v>14214-2648</v>
      </c>
      <c r="AB631" t="s">
        <v>74</v>
      </c>
      <c r="AC631" t="s">
        <v>75</v>
      </c>
      <c r="AD631" t="s">
        <v>72</v>
      </c>
      <c r="AE631" t="s">
        <v>76</v>
      </c>
      <c r="AF631" t="s">
        <v>3974</v>
      </c>
      <c r="AG631" t="s">
        <v>77</v>
      </c>
    </row>
    <row r="632" spans="1:33" x14ac:dyDescent="0.25">
      <c r="A632" t="str">
        <f>"1194748327"</f>
        <v>1194748327</v>
      </c>
      <c r="B632" t="str">
        <f>"03255025"</f>
        <v>03255025</v>
      </c>
      <c r="C632" t="s">
        <v>6163</v>
      </c>
      <c r="D632" t="s">
        <v>3888</v>
      </c>
      <c r="E632" t="s">
        <v>3889</v>
      </c>
      <c r="G632" t="s">
        <v>6164</v>
      </c>
      <c r="H632" t="s">
        <v>6165</v>
      </c>
      <c r="J632" t="s">
        <v>6166</v>
      </c>
      <c r="L632" t="s">
        <v>79</v>
      </c>
      <c r="M632" t="s">
        <v>72</v>
      </c>
      <c r="R632" t="s">
        <v>3890</v>
      </c>
      <c r="W632" t="s">
        <v>3891</v>
      </c>
      <c r="X632" t="s">
        <v>3892</v>
      </c>
      <c r="Y632" t="s">
        <v>317</v>
      </c>
      <c r="Z632" t="s">
        <v>73</v>
      </c>
      <c r="AA632" t="str">
        <f>"14218-1156"</f>
        <v>14218-1156</v>
      </c>
      <c r="AB632" t="s">
        <v>74</v>
      </c>
      <c r="AC632" t="s">
        <v>75</v>
      </c>
      <c r="AD632" t="s">
        <v>72</v>
      </c>
      <c r="AE632" t="s">
        <v>76</v>
      </c>
      <c r="AF632" t="s">
        <v>3974</v>
      </c>
      <c r="AG632" t="s">
        <v>77</v>
      </c>
    </row>
    <row r="633" spans="1:33" x14ac:dyDescent="0.25">
      <c r="A633" t="str">
        <f>"1942275441"</f>
        <v>1942275441</v>
      </c>
      <c r="B633" t="str">
        <f>"01032475"</f>
        <v>01032475</v>
      </c>
      <c r="C633" t="s">
        <v>6167</v>
      </c>
      <c r="D633" t="s">
        <v>2860</v>
      </c>
      <c r="E633" t="s">
        <v>2861</v>
      </c>
      <c r="G633" t="s">
        <v>4047</v>
      </c>
      <c r="H633" t="s">
        <v>634</v>
      </c>
      <c r="J633" t="s">
        <v>4048</v>
      </c>
      <c r="L633" t="s">
        <v>80</v>
      </c>
      <c r="M633" t="s">
        <v>72</v>
      </c>
      <c r="R633" t="s">
        <v>2862</v>
      </c>
      <c r="W633" t="s">
        <v>2863</v>
      </c>
      <c r="X633" t="s">
        <v>2864</v>
      </c>
      <c r="Y633" t="s">
        <v>2562</v>
      </c>
      <c r="Z633" t="s">
        <v>73</v>
      </c>
      <c r="AA633" t="str">
        <f>"14716"</f>
        <v>14716</v>
      </c>
      <c r="AB633" t="s">
        <v>74</v>
      </c>
      <c r="AC633" t="s">
        <v>75</v>
      </c>
      <c r="AD633" t="s">
        <v>72</v>
      </c>
      <c r="AE633" t="s">
        <v>76</v>
      </c>
      <c r="AF633" t="s">
        <v>4049</v>
      </c>
      <c r="AG633" t="s">
        <v>77</v>
      </c>
    </row>
    <row r="634" spans="1:33" x14ac:dyDescent="0.25">
      <c r="A634" t="str">
        <f>"1003884289"</f>
        <v>1003884289</v>
      </c>
      <c r="B634" t="str">
        <f>"01387062"</f>
        <v>01387062</v>
      </c>
      <c r="C634" t="s">
        <v>6168</v>
      </c>
      <c r="D634" t="s">
        <v>2787</v>
      </c>
      <c r="E634" t="s">
        <v>2788</v>
      </c>
      <c r="G634" t="s">
        <v>4047</v>
      </c>
      <c r="H634" t="s">
        <v>634</v>
      </c>
      <c r="J634" t="s">
        <v>4048</v>
      </c>
      <c r="L634" t="s">
        <v>80</v>
      </c>
      <c r="M634" t="s">
        <v>72</v>
      </c>
      <c r="R634" t="s">
        <v>2789</v>
      </c>
      <c r="W634" t="s">
        <v>2790</v>
      </c>
      <c r="X634" t="s">
        <v>2561</v>
      </c>
      <c r="Y634" t="s">
        <v>1661</v>
      </c>
      <c r="Z634" t="s">
        <v>73</v>
      </c>
      <c r="AA634" t="str">
        <f>"14781"</f>
        <v>14781</v>
      </c>
      <c r="AB634" t="s">
        <v>74</v>
      </c>
      <c r="AC634" t="s">
        <v>75</v>
      </c>
      <c r="AD634" t="s">
        <v>72</v>
      </c>
      <c r="AE634" t="s">
        <v>76</v>
      </c>
      <c r="AF634" t="s">
        <v>4049</v>
      </c>
      <c r="AG634" t="s">
        <v>77</v>
      </c>
    </row>
    <row r="635" spans="1:33" x14ac:dyDescent="0.25">
      <c r="A635" t="str">
        <f>"1659371862"</f>
        <v>1659371862</v>
      </c>
      <c r="B635" t="str">
        <f>"02683796"</f>
        <v>02683796</v>
      </c>
      <c r="C635" t="s">
        <v>6169</v>
      </c>
      <c r="D635" t="s">
        <v>3069</v>
      </c>
      <c r="E635" t="s">
        <v>3070</v>
      </c>
      <c r="G635" t="s">
        <v>5010</v>
      </c>
      <c r="H635" t="s">
        <v>1119</v>
      </c>
      <c r="J635" t="s">
        <v>5011</v>
      </c>
      <c r="L635" t="s">
        <v>79</v>
      </c>
      <c r="M635" t="s">
        <v>72</v>
      </c>
      <c r="R635" t="s">
        <v>3070</v>
      </c>
      <c r="W635" t="s">
        <v>3070</v>
      </c>
      <c r="X635" t="s">
        <v>169</v>
      </c>
      <c r="Y635" t="s">
        <v>117</v>
      </c>
      <c r="Z635" t="s">
        <v>73</v>
      </c>
      <c r="AA635" t="str">
        <f>"14209-1120"</f>
        <v>14209-1120</v>
      </c>
      <c r="AB635" t="s">
        <v>74</v>
      </c>
      <c r="AC635" t="s">
        <v>75</v>
      </c>
      <c r="AD635" t="s">
        <v>72</v>
      </c>
      <c r="AE635" t="s">
        <v>76</v>
      </c>
      <c r="AF635" t="s">
        <v>3974</v>
      </c>
      <c r="AG635" t="s">
        <v>77</v>
      </c>
    </row>
    <row r="636" spans="1:33" x14ac:dyDescent="0.25">
      <c r="A636" t="str">
        <f>"1538169875"</f>
        <v>1538169875</v>
      </c>
      <c r="B636" t="str">
        <f>"01186516"</f>
        <v>01186516</v>
      </c>
      <c r="C636" t="s">
        <v>6170</v>
      </c>
      <c r="D636" t="s">
        <v>1614</v>
      </c>
      <c r="E636" t="s">
        <v>1615</v>
      </c>
      <c r="G636" t="s">
        <v>5357</v>
      </c>
      <c r="H636" t="s">
        <v>779</v>
      </c>
      <c r="J636" t="s">
        <v>5358</v>
      </c>
      <c r="L636" t="s">
        <v>79</v>
      </c>
      <c r="M636" t="s">
        <v>72</v>
      </c>
      <c r="R636" t="s">
        <v>1616</v>
      </c>
      <c r="W636" t="s">
        <v>1615</v>
      </c>
      <c r="Y636" t="s">
        <v>117</v>
      </c>
      <c r="Z636" t="s">
        <v>73</v>
      </c>
      <c r="AA636" t="str">
        <f>"14220-2095"</f>
        <v>14220-2095</v>
      </c>
      <c r="AB636" t="s">
        <v>74</v>
      </c>
      <c r="AC636" t="s">
        <v>75</v>
      </c>
      <c r="AD636" t="s">
        <v>72</v>
      </c>
      <c r="AE636" t="s">
        <v>76</v>
      </c>
      <c r="AF636" t="s">
        <v>3974</v>
      </c>
      <c r="AG636" t="s">
        <v>77</v>
      </c>
    </row>
    <row r="637" spans="1:33" x14ac:dyDescent="0.25">
      <c r="A637" t="str">
        <f>"1053348599"</f>
        <v>1053348599</v>
      </c>
      <c r="B637" t="str">
        <f>"00626664"</f>
        <v>00626664</v>
      </c>
      <c r="C637" t="s">
        <v>6171</v>
      </c>
      <c r="D637" t="s">
        <v>6172</v>
      </c>
      <c r="E637" t="s">
        <v>6173</v>
      </c>
      <c r="G637" t="s">
        <v>5032</v>
      </c>
      <c r="H637" t="s">
        <v>5033</v>
      </c>
      <c r="J637" t="s">
        <v>5034</v>
      </c>
      <c r="L637" t="s">
        <v>80</v>
      </c>
      <c r="M637" t="s">
        <v>72</v>
      </c>
      <c r="R637" t="s">
        <v>6174</v>
      </c>
      <c r="W637" t="s">
        <v>6175</v>
      </c>
      <c r="X637" t="s">
        <v>6176</v>
      </c>
      <c r="Y637" t="s">
        <v>6177</v>
      </c>
      <c r="Z637" t="s">
        <v>73</v>
      </c>
      <c r="AA637" t="str">
        <f>"14171-9741"</f>
        <v>14171-9741</v>
      </c>
      <c r="AB637" t="s">
        <v>74</v>
      </c>
      <c r="AC637" t="s">
        <v>75</v>
      </c>
      <c r="AD637" t="s">
        <v>72</v>
      </c>
      <c r="AE637" t="s">
        <v>76</v>
      </c>
      <c r="AF637" t="s">
        <v>3961</v>
      </c>
      <c r="AG637" t="s">
        <v>77</v>
      </c>
    </row>
    <row r="638" spans="1:33" x14ac:dyDescent="0.25">
      <c r="A638" t="str">
        <f>"1851482038"</f>
        <v>1851482038</v>
      </c>
      <c r="B638" t="str">
        <f>"01219658"</f>
        <v>01219658</v>
      </c>
      <c r="C638" t="s">
        <v>6178</v>
      </c>
      <c r="D638" t="s">
        <v>3424</v>
      </c>
      <c r="E638" t="s">
        <v>3425</v>
      </c>
      <c r="G638" t="s">
        <v>4825</v>
      </c>
      <c r="H638" t="s">
        <v>4826</v>
      </c>
      <c r="J638" t="s">
        <v>4827</v>
      </c>
      <c r="L638" t="s">
        <v>79</v>
      </c>
      <c r="M638" t="s">
        <v>72</v>
      </c>
      <c r="R638" t="s">
        <v>3426</v>
      </c>
      <c r="W638" t="s">
        <v>3427</v>
      </c>
      <c r="X638" t="s">
        <v>234</v>
      </c>
      <c r="Y638" t="s">
        <v>117</v>
      </c>
      <c r="Z638" t="s">
        <v>73</v>
      </c>
      <c r="AA638" t="str">
        <f>"14220-2039"</f>
        <v>14220-2039</v>
      </c>
      <c r="AB638" t="s">
        <v>74</v>
      </c>
      <c r="AC638" t="s">
        <v>75</v>
      </c>
      <c r="AD638" t="s">
        <v>72</v>
      </c>
      <c r="AE638" t="s">
        <v>76</v>
      </c>
      <c r="AF638" t="s">
        <v>3974</v>
      </c>
      <c r="AG638" t="s">
        <v>77</v>
      </c>
    </row>
    <row r="639" spans="1:33" x14ac:dyDescent="0.25">
      <c r="A639" t="str">
        <f>"1114103454"</f>
        <v>1114103454</v>
      </c>
      <c r="B639" t="str">
        <f>"03602742"</f>
        <v>03602742</v>
      </c>
      <c r="C639" t="s">
        <v>6179</v>
      </c>
      <c r="D639" t="s">
        <v>6180</v>
      </c>
      <c r="E639" t="s">
        <v>6181</v>
      </c>
      <c r="G639" t="s">
        <v>5010</v>
      </c>
      <c r="H639" t="s">
        <v>1119</v>
      </c>
      <c r="J639" t="s">
        <v>5011</v>
      </c>
      <c r="L639" t="s">
        <v>79</v>
      </c>
      <c r="M639" t="s">
        <v>72</v>
      </c>
      <c r="R639" t="s">
        <v>6182</v>
      </c>
      <c r="W639" t="s">
        <v>6183</v>
      </c>
      <c r="X639" t="s">
        <v>385</v>
      </c>
      <c r="Y639" t="s">
        <v>228</v>
      </c>
      <c r="Z639" t="s">
        <v>73</v>
      </c>
      <c r="AA639" t="str">
        <f>"14226-1738"</f>
        <v>14226-1738</v>
      </c>
      <c r="AB639" t="s">
        <v>74</v>
      </c>
      <c r="AC639" t="s">
        <v>75</v>
      </c>
      <c r="AD639" t="s">
        <v>72</v>
      </c>
      <c r="AE639" t="s">
        <v>76</v>
      </c>
      <c r="AF639" t="s">
        <v>3974</v>
      </c>
      <c r="AG639" t="s">
        <v>77</v>
      </c>
    </row>
    <row r="640" spans="1:33" x14ac:dyDescent="0.25">
      <c r="A640" t="str">
        <f>"1881761864"</f>
        <v>1881761864</v>
      </c>
      <c r="B640" t="str">
        <f>"02273132"</f>
        <v>02273132</v>
      </c>
      <c r="C640" t="s">
        <v>6184</v>
      </c>
      <c r="D640" t="s">
        <v>6185</v>
      </c>
      <c r="E640" t="s">
        <v>6186</v>
      </c>
      <c r="G640" t="s">
        <v>6187</v>
      </c>
      <c r="H640" t="s">
        <v>6188</v>
      </c>
      <c r="J640" t="s">
        <v>6189</v>
      </c>
      <c r="L640" t="s">
        <v>80</v>
      </c>
      <c r="M640" t="s">
        <v>72</v>
      </c>
      <c r="R640" t="s">
        <v>6190</v>
      </c>
      <c r="W640" t="s">
        <v>6186</v>
      </c>
      <c r="X640" t="s">
        <v>158</v>
      </c>
      <c r="Y640" t="s">
        <v>188</v>
      </c>
      <c r="Z640" t="s">
        <v>73</v>
      </c>
      <c r="AA640" t="str">
        <f>"14092-1953"</f>
        <v>14092-1953</v>
      </c>
      <c r="AB640" t="s">
        <v>74</v>
      </c>
      <c r="AC640" t="s">
        <v>75</v>
      </c>
      <c r="AD640" t="s">
        <v>72</v>
      </c>
      <c r="AE640" t="s">
        <v>76</v>
      </c>
      <c r="AF640" t="s">
        <v>3961</v>
      </c>
      <c r="AG640" t="s">
        <v>77</v>
      </c>
    </row>
    <row r="641" spans="1:33" x14ac:dyDescent="0.25">
      <c r="A641" t="str">
        <f>"1770644528"</f>
        <v>1770644528</v>
      </c>
      <c r="B641" t="str">
        <f>"01242942"</f>
        <v>01242942</v>
      </c>
      <c r="C641" t="s">
        <v>6191</v>
      </c>
      <c r="D641" t="s">
        <v>787</v>
      </c>
      <c r="E641" t="s">
        <v>788</v>
      </c>
      <c r="G641" t="s">
        <v>4887</v>
      </c>
      <c r="H641" t="s">
        <v>789</v>
      </c>
      <c r="J641" t="s">
        <v>4888</v>
      </c>
      <c r="L641" t="s">
        <v>71</v>
      </c>
      <c r="M641" t="s">
        <v>72</v>
      </c>
      <c r="R641" t="s">
        <v>790</v>
      </c>
      <c r="W641" t="s">
        <v>788</v>
      </c>
      <c r="X641" t="s">
        <v>688</v>
      </c>
      <c r="Y641" t="s">
        <v>117</v>
      </c>
      <c r="Z641" t="s">
        <v>73</v>
      </c>
      <c r="AA641" t="str">
        <f>"14221-3706"</f>
        <v>14221-3706</v>
      </c>
      <c r="AB641" t="s">
        <v>74</v>
      </c>
      <c r="AC641" t="s">
        <v>75</v>
      </c>
      <c r="AD641" t="s">
        <v>72</v>
      </c>
      <c r="AE641" t="s">
        <v>76</v>
      </c>
      <c r="AF641" t="s">
        <v>3974</v>
      </c>
      <c r="AG641" t="s">
        <v>77</v>
      </c>
    </row>
    <row r="642" spans="1:33" x14ac:dyDescent="0.25">
      <c r="A642" t="str">
        <f>"1003862897"</f>
        <v>1003862897</v>
      </c>
      <c r="B642" t="str">
        <f>"01574336"</f>
        <v>01574336</v>
      </c>
      <c r="C642" t="s">
        <v>6192</v>
      </c>
      <c r="D642" t="s">
        <v>6193</v>
      </c>
      <c r="E642" t="s">
        <v>6194</v>
      </c>
      <c r="G642" t="s">
        <v>6195</v>
      </c>
      <c r="H642" t="s">
        <v>3390</v>
      </c>
      <c r="J642" t="s">
        <v>6196</v>
      </c>
      <c r="L642" t="s">
        <v>80</v>
      </c>
      <c r="M642" t="s">
        <v>72</v>
      </c>
      <c r="R642" t="s">
        <v>6197</v>
      </c>
      <c r="W642" t="s">
        <v>6198</v>
      </c>
      <c r="X642" t="s">
        <v>1468</v>
      </c>
      <c r="Y642" t="s">
        <v>1079</v>
      </c>
      <c r="Z642" t="s">
        <v>73</v>
      </c>
      <c r="AA642" t="str">
        <f>"14075-3738"</f>
        <v>14075-3738</v>
      </c>
      <c r="AB642" t="s">
        <v>74</v>
      </c>
      <c r="AC642" t="s">
        <v>75</v>
      </c>
      <c r="AD642" t="s">
        <v>72</v>
      </c>
      <c r="AE642" t="s">
        <v>76</v>
      </c>
      <c r="AF642" t="s">
        <v>3974</v>
      </c>
      <c r="AG642" t="s">
        <v>77</v>
      </c>
    </row>
    <row r="643" spans="1:33" x14ac:dyDescent="0.25">
      <c r="A643" t="str">
        <f>"1063624468"</f>
        <v>1063624468</v>
      </c>
      <c r="B643" t="str">
        <f>"03283209"</f>
        <v>03283209</v>
      </c>
      <c r="C643" t="s">
        <v>6199</v>
      </c>
      <c r="D643" t="s">
        <v>6200</v>
      </c>
      <c r="E643" t="s">
        <v>6201</v>
      </c>
      <c r="G643" t="s">
        <v>6199</v>
      </c>
      <c r="H643" t="s">
        <v>4732</v>
      </c>
      <c r="J643" t="s">
        <v>6202</v>
      </c>
      <c r="L643" t="s">
        <v>79</v>
      </c>
      <c r="M643" t="s">
        <v>72</v>
      </c>
      <c r="R643" t="s">
        <v>6203</v>
      </c>
      <c r="W643" t="s">
        <v>6201</v>
      </c>
      <c r="X643" t="s">
        <v>6204</v>
      </c>
      <c r="Y643" t="s">
        <v>6205</v>
      </c>
      <c r="Z643" t="s">
        <v>218</v>
      </c>
      <c r="AA643" t="str">
        <f>"03264-1126"</f>
        <v>03264-1126</v>
      </c>
      <c r="AB643" t="s">
        <v>74</v>
      </c>
      <c r="AC643" t="s">
        <v>75</v>
      </c>
      <c r="AD643" t="s">
        <v>72</v>
      </c>
      <c r="AE643" t="s">
        <v>76</v>
      </c>
      <c r="AF643" t="s">
        <v>3974</v>
      </c>
      <c r="AG643" t="s">
        <v>77</v>
      </c>
    </row>
    <row r="644" spans="1:33" x14ac:dyDescent="0.25">
      <c r="A644" t="str">
        <f>"1922093129"</f>
        <v>1922093129</v>
      </c>
      <c r="B644" t="str">
        <f>"02690682"</f>
        <v>02690682</v>
      </c>
      <c r="C644" t="s">
        <v>6206</v>
      </c>
      <c r="D644" t="s">
        <v>6207</v>
      </c>
      <c r="E644" t="s">
        <v>6208</v>
      </c>
      <c r="G644" t="s">
        <v>4101</v>
      </c>
      <c r="H644" t="s">
        <v>4102</v>
      </c>
      <c r="I644">
        <v>44</v>
      </c>
      <c r="J644" t="s">
        <v>4103</v>
      </c>
      <c r="L644" t="s">
        <v>80</v>
      </c>
      <c r="M644" t="s">
        <v>72</v>
      </c>
      <c r="R644" t="s">
        <v>6209</v>
      </c>
      <c r="W644" t="s">
        <v>6208</v>
      </c>
      <c r="X644" t="s">
        <v>4105</v>
      </c>
      <c r="Y644" t="s">
        <v>242</v>
      </c>
      <c r="Z644" t="s">
        <v>73</v>
      </c>
      <c r="AA644" t="str">
        <f>"14701-2545"</f>
        <v>14701-2545</v>
      </c>
      <c r="AB644" t="s">
        <v>74</v>
      </c>
      <c r="AC644" t="s">
        <v>75</v>
      </c>
      <c r="AD644" t="s">
        <v>72</v>
      </c>
      <c r="AE644" t="s">
        <v>76</v>
      </c>
      <c r="AF644" t="s">
        <v>4049</v>
      </c>
      <c r="AG644" t="s">
        <v>77</v>
      </c>
    </row>
    <row r="645" spans="1:33" x14ac:dyDescent="0.25">
      <c r="A645" t="str">
        <f>"1639153943"</f>
        <v>1639153943</v>
      </c>
      <c r="B645" t="str">
        <f>"00834217"</f>
        <v>00834217</v>
      </c>
      <c r="C645" t="s">
        <v>6210</v>
      </c>
      <c r="D645" t="s">
        <v>2766</v>
      </c>
      <c r="E645" t="s">
        <v>2767</v>
      </c>
      <c r="G645" t="s">
        <v>5431</v>
      </c>
      <c r="H645" t="s">
        <v>1226</v>
      </c>
      <c r="J645" t="s">
        <v>6211</v>
      </c>
      <c r="L645" t="s">
        <v>79</v>
      </c>
      <c r="M645" t="s">
        <v>72</v>
      </c>
      <c r="R645" t="s">
        <v>2768</v>
      </c>
      <c r="W645" t="s">
        <v>2767</v>
      </c>
      <c r="X645" t="s">
        <v>290</v>
      </c>
      <c r="Y645" t="s">
        <v>117</v>
      </c>
      <c r="Z645" t="s">
        <v>73</v>
      </c>
      <c r="AA645" t="str">
        <f>"14263-0001"</f>
        <v>14263-0001</v>
      </c>
      <c r="AB645" t="s">
        <v>74</v>
      </c>
      <c r="AC645" t="s">
        <v>75</v>
      </c>
      <c r="AD645" t="s">
        <v>72</v>
      </c>
      <c r="AE645" t="s">
        <v>76</v>
      </c>
      <c r="AF645" t="s">
        <v>3974</v>
      </c>
      <c r="AG645" t="s">
        <v>77</v>
      </c>
    </row>
    <row r="646" spans="1:33" x14ac:dyDescent="0.25">
      <c r="A646" t="str">
        <f>"1528345469"</f>
        <v>1528345469</v>
      </c>
      <c r="B646" t="str">
        <f>"03406177"</f>
        <v>03406177</v>
      </c>
      <c r="C646" t="s">
        <v>6212</v>
      </c>
      <c r="D646" t="s">
        <v>6213</v>
      </c>
      <c r="E646" t="s">
        <v>6214</v>
      </c>
      <c r="G646" t="s">
        <v>4797</v>
      </c>
      <c r="H646" t="s">
        <v>4798</v>
      </c>
      <c r="I646">
        <v>104</v>
      </c>
      <c r="J646" t="s">
        <v>4799</v>
      </c>
      <c r="L646" t="s">
        <v>79</v>
      </c>
      <c r="M646" t="s">
        <v>72</v>
      </c>
      <c r="R646" t="s">
        <v>6215</v>
      </c>
      <c r="W646" t="s">
        <v>6216</v>
      </c>
      <c r="X646" t="s">
        <v>6217</v>
      </c>
      <c r="Y646" t="s">
        <v>408</v>
      </c>
      <c r="Z646" t="s">
        <v>73</v>
      </c>
      <c r="AA646" t="str">
        <f>"14757-1017"</f>
        <v>14757-1017</v>
      </c>
      <c r="AB646" t="s">
        <v>74</v>
      </c>
      <c r="AC646" t="s">
        <v>75</v>
      </c>
      <c r="AD646" t="s">
        <v>72</v>
      </c>
      <c r="AE646" t="s">
        <v>76</v>
      </c>
      <c r="AF646" t="s">
        <v>4049</v>
      </c>
      <c r="AG646" t="s">
        <v>77</v>
      </c>
    </row>
    <row r="647" spans="1:33" x14ac:dyDescent="0.25">
      <c r="C647" t="s">
        <v>6218</v>
      </c>
      <c r="G647" t="s">
        <v>6219</v>
      </c>
      <c r="H647" t="s">
        <v>6220</v>
      </c>
      <c r="J647" t="s">
        <v>6221</v>
      </c>
      <c r="K647" t="s">
        <v>89</v>
      </c>
      <c r="L647" t="s">
        <v>90</v>
      </c>
      <c r="M647" t="s">
        <v>72</v>
      </c>
      <c r="N647" t="s">
        <v>6222</v>
      </c>
      <c r="O647" t="s">
        <v>1101</v>
      </c>
      <c r="P647" t="s">
        <v>73</v>
      </c>
      <c r="Q647" t="str">
        <f>"14221"</f>
        <v>14221</v>
      </c>
      <c r="AC647" t="s">
        <v>75</v>
      </c>
      <c r="AD647" t="s">
        <v>72</v>
      </c>
      <c r="AE647" t="s">
        <v>91</v>
      </c>
      <c r="AG647" t="s">
        <v>77</v>
      </c>
    </row>
    <row r="648" spans="1:33" x14ac:dyDescent="0.25">
      <c r="A648" t="str">
        <f>"1033221031"</f>
        <v>1033221031</v>
      </c>
      <c r="B648" t="str">
        <f>"01820933"</f>
        <v>01820933</v>
      </c>
      <c r="C648" t="s">
        <v>6223</v>
      </c>
      <c r="D648" t="s">
        <v>6224</v>
      </c>
      <c r="E648" t="s">
        <v>6225</v>
      </c>
      <c r="G648" t="s">
        <v>6226</v>
      </c>
      <c r="H648" t="s">
        <v>6227</v>
      </c>
      <c r="I648">
        <v>143</v>
      </c>
      <c r="J648" t="s">
        <v>6228</v>
      </c>
      <c r="L648" t="s">
        <v>16</v>
      </c>
      <c r="M648" t="s">
        <v>81</v>
      </c>
      <c r="R648" t="s">
        <v>6225</v>
      </c>
      <c r="W648" t="s">
        <v>6225</v>
      </c>
      <c r="X648" t="s">
        <v>6229</v>
      </c>
      <c r="Y648" t="s">
        <v>237</v>
      </c>
      <c r="Z648" t="s">
        <v>73</v>
      </c>
      <c r="AA648" t="str">
        <f>"14224-2225"</f>
        <v>14224-2225</v>
      </c>
      <c r="AB648" t="s">
        <v>115</v>
      </c>
      <c r="AC648" t="s">
        <v>75</v>
      </c>
      <c r="AD648" t="s">
        <v>72</v>
      </c>
      <c r="AE648" t="s">
        <v>76</v>
      </c>
      <c r="AF648" t="s">
        <v>4078</v>
      </c>
      <c r="AG648" t="s">
        <v>77</v>
      </c>
    </row>
    <row r="649" spans="1:33" x14ac:dyDescent="0.25">
      <c r="A649" t="str">
        <f>"1194783928"</f>
        <v>1194783928</v>
      </c>
      <c r="B649" t="str">
        <f>"01842680"</f>
        <v>01842680</v>
      </c>
      <c r="C649" t="s">
        <v>6230</v>
      </c>
      <c r="D649" t="s">
        <v>6231</v>
      </c>
      <c r="E649" t="s">
        <v>6232</v>
      </c>
      <c r="G649" t="s">
        <v>5076</v>
      </c>
      <c r="H649" t="s">
        <v>5077</v>
      </c>
      <c r="J649" t="s">
        <v>5078</v>
      </c>
      <c r="L649" t="s">
        <v>79</v>
      </c>
      <c r="M649" t="s">
        <v>72</v>
      </c>
      <c r="R649" t="s">
        <v>6232</v>
      </c>
      <c r="W649" t="s">
        <v>6232</v>
      </c>
      <c r="X649" t="s">
        <v>6232</v>
      </c>
      <c r="Y649" t="s">
        <v>455</v>
      </c>
      <c r="Z649" t="s">
        <v>73</v>
      </c>
      <c r="AA649" t="str">
        <f>"14026-0010"</f>
        <v>14026-0010</v>
      </c>
      <c r="AB649" t="s">
        <v>74</v>
      </c>
      <c r="AC649" t="s">
        <v>75</v>
      </c>
      <c r="AD649" t="s">
        <v>72</v>
      </c>
      <c r="AE649" t="s">
        <v>76</v>
      </c>
      <c r="AF649" t="s">
        <v>3974</v>
      </c>
      <c r="AG649" t="s">
        <v>77</v>
      </c>
    </row>
    <row r="650" spans="1:33" x14ac:dyDescent="0.25">
      <c r="A650" t="str">
        <f>"1275709164"</f>
        <v>1275709164</v>
      </c>
      <c r="B650" t="str">
        <f>"02984545"</f>
        <v>02984545</v>
      </c>
      <c r="C650" t="s">
        <v>6233</v>
      </c>
      <c r="D650" t="s">
        <v>2916</v>
      </c>
      <c r="E650" t="s">
        <v>2917</v>
      </c>
      <c r="G650" t="s">
        <v>6233</v>
      </c>
      <c r="H650" t="s">
        <v>1131</v>
      </c>
      <c r="J650" t="s">
        <v>6234</v>
      </c>
      <c r="L650" t="s">
        <v>79</v>
      </c>
      <c r="M650" t="s">
        <v>72</v>
      </c>
      <c r="R650" t="s">
        <v>2918</v>
      </c>
      <c r="W650" t="s">
        <v>2919</v>
      </c>
      <c r="X650" t="s">
        <v>1542</v>
      </c>
      <c r="Y650" t="s">
        <v>221</v>
      </c>
      <c r="Z650" t="s">
        <v>73</v>
      </c>
      <c r="AA650" t="str">
        <f>"14221-8216"</f>
        <v>14221-8216</v>
      </c>
      <c r="AB650" t="s">
        <v>74</v>
      </c>
      <c r="AC650" t="s">
        <v>75</v>
      </c>
      <c r="AD650" t="s">
        <v>72</v>
      </c>
      <c r="AE650" t="s">
        <v>76</v>
      </c>
      <c r="AG650" t="s">
        <v>77</v>
      </c>
    </row>
    <row r="651" spans="1:33" x14ac:dyDescent="0.25">
      <c r="A651" t="str">
        <f>"1285690008"</f>
        <v>1285690008</v>
      </c>
      <c r="B651" t="str">
        <f>"02566190"</f>
        <v>02566190</v>
      </c>
      <c r="C651" t="s">
        <v>6235</v>
      </c>
      <c r="D651" t="s">
        <v>6236</v>
      </c>
      <c r="E651" t="s">
        <v>6237</v>
      </c>
      <c r="G651" t="s">
        <v>6238</v>
      </c>
      <c r="H651" t="s">
        <v>6239</v>
      </c>
      <c r="J651" t="s">
        <v>6240</v>
      </c>
      <c r="L651" t="s">
        <v>80</v>
      </c>
      <c r="M651" t="s">
        <v>72</v>
      </c>
      <c r="R651" t="s">
        <v>6241</v>
      </c>
      <c r="W651" t="s">
        <v>6237</v>
      </c>
      <c r="X651" t="s">
        <v>6242</v>
      </c>
      <c r="Y651" t="s">
        <v>373</v>
      </c>
      <c r="Z651" t="s">
        <v>73</v>
      </c>
      <c r="AA651" t="str">
        <f>"14004-1223"</f>
        <v>14004-1223</v>
      </c>
      <c r="AB651" t="s">
        <v>74</v>
      </c>
      <c r="AC651" t="s">
        <v>75</v>
      </c>
      <c r="AD651" t="s">
        <v>72</v>
      </c>
      <c r="AE651" t="s">
        <v>76</v>
      </c>
      <c r="AF651" t="s">
        <v>3961</v>
      </c>
      <c r="AG651" t="s">
        <v>77</v>
      </c>
    </row>
    <row r="652" spans="1:33" x14ac:dyDescent="0.25">
      <c r="A652" t="str">
        <f>"1316940299"</f>
        <v>1316940299</v>
      </c>
      <c r="B652" t="str">
        <f>"01925153"</f>
        <v>01925153</v>
      </c>
      <c r="C652" t="s">
        <v>6243</v>
      </c>
      <c r="D652" t="s">
        <v>3132</v>
      </c>
      <c r="E652" t="s">
        <v>3133</v>
      </c>
      <c r="G652" t="s">
        <v>6244</v>
      </c>
      <c r="H652" t="s">
        <v>3134</v>
      </c>
      <c r="J652" t="s">
        <v>6245</v>
      </c>
      <c r="L652" t="s">
        <v>79</v>
      </c>
      <c r="M652" t="s">
        <v>72</v>
      </c>
      <c r="R652" t="s">
        <v>3135</v>
      </c>
      <c r="W652" t="s">
        <v>3136</v>
      </c>
      <c r="X652" t="s">
        <v>187</v>
      </c>
      <c r="Y652" t="s">
        <v>188</v>
      </c>
      <c r="Z652" t="s">
        <v>73</v>
      </c>
      <c r="AA652" t="str">
        <f>"14092-1903"</f>
        <v>14092-1903</v>
      </c>
      <c r="AB652" t="s">
        <v>74</v>
      </c>
      <c r="AC652" t="s">
        <v>75</v>
      </c>
      <c r="AD652" t="s">
        <v>72</v>
      </c>
      <c r="AE652" t="s">
        <v>76</v>
      </c>
      <c r="AF652" t="s">
        <v>4043</v>
      </c>
      <c r="AG652" t="s">
        <v>77</v>
      </c>
    </row>
    <row r="653" spans="1:33" x14ac:dyDescent="0.25">
      <c r="A653" t="str">
        <f>"1396057287"</f>
        <v>1396057287</v>
      </c>
      <c r="B653" t="str">
        <f>"03565359"</f>
        <v>03565359</v>
      </c>
      <c r="C653" t="s">
        <v>6246</v>
      </c>
      <c r="D653" t="s">
        <v>1703</v>
      </c>
      <c r="E653" t="s">
        <v>1704</v>
      </c>
      <c r="L653" t="s">
        <v>79</v>
      </c>
      <c r="M653" t="s">
        <v>72</v>
      </c>
      <c r="R653" t="s">
        <v>1705</v>
      </c>
      <c r="W653" t="s">
        <v>1704</v>
      </c>
      <c r="X653" t="s">
        <v>1652</v>
      </c>
      <c r="Y653" t="s">
        <v>221</v>
      </c>
      <c r="Z653" t="s">
        <v>73</v>
      </c>
      <c r="AA653" t="str">
        <f>"14221-5771"</f>
        <v>14221-5771</v>
      </c>
      <c r="AB653" t="s">
        <v>74</v>
      </c>
      <c r="AC653" t="s">
        <v>75</v>
      </c>
      <c r="AD653" t="s">
        <v>72</v>
      </c>
      <c r="AE653" t="s">
        <v>76</v>
      </c>
      <c r="AF653" t="s">
        <v>4043</v>
      </c>
      <c r="AG653" t="s">
        <v>77</v>
      </c>
    </row>
    <row r="654" spans="1:33" x14ac:dyDescent="0.25">
      <c r="A654" t="str">
        <f>"1316175888"</f>
        <v>1316175888</v>
      </c>
      <c r="B654" t="str">
        <f>"03119995"</f>
        <v>03119995</v>
      </c>
      <c r="C654" t="s">
        <v>6247</v>
      </c>
      <c r="D654" t="s">
        <v>6248</v>
      </c>
      <c r="E654" t="s">
        <v>6249</v>
      </c>
      <c r="L654" t="s">
        <v>79</v>
      </c>
      <c r="M654" t="s">
        <v>72</v>
      </c>
      <c r="R654" t="s">
        <v>6249</v>
      </c>
      <c r="W654" t="s">
        <v>6249</v>
      </c>
      <c r="X654" t="s">
        <v>3776</v>
      </c>
      <c r="Y654" t="s">
        <v>237</v>
      </c>
      <c r="Z654" t="s">
        <v>73</v>
      </c>
      <c r="AA654" t="str">
        <f>"14224-3445"</f>
        <v>14224-3445</v>
      </c>
      <c r="AB654" t="s">
        <v>74</v>
      </c>
      <c r="AC654" t="s">
        <v>75</v>
      </c>
      <c r="AD654" t="s">
        <v>72</v>
      </c>
      <c r="AE654" t="s">
        <v>76</v>
      </c>
      <c r="AF654" t="s">
        <v>3961</v>
      </c>
      <c r="AG654" t="s">
        <v>77</v>
      </c>
    </row>
    <row r="655" spans="1:33" x14ac:dyDescent="0.25">
      <c r="A655" t="str">
        <f>"1245405158"</f>
        <v>1245405158</v>
      </c>
      <c r="B655" t="str">
        <f>"02968023"</f>
        <v>02968023</v>
      </c>
      <c r="C655" t="s">
        <v>6250</v>
      </c>
      <c r="D655" t="s">
        <v>6251</v>
      </c>
      <c r="E655" t="s">
        <v>6252</v>
      </c>
      <c r="L655" t="s">
        <v>80</v>
      </c>
      <c r="M655" t="s">
        <v>72</v>
      </c>
      <c r="R655" t="s">
        <v>6253</v>
      </c>
      <c r="W655" t="s">
        <v>6252</v>
      </c>
      <c r="X655" t="s">
        <v>243</v>
      </c>
      <c r="Y655" t="s">
        <v>117</v>
      </c>
      <c r="Z655" t="s">
        <v>73</v>
      </c>
      <c r="AA655" t="str">
        <f>"14203-1126"</f>
        <v>14203-1126</v>
      </c>
      <c r="AB655" t="s">
        <v>74</v>
      </c>
      <c r="AC655" t="s">
        <v>75</v>
      </c>
      <c r="AD655" t="s">
        <v>72</v>
      </c>
      <c r="AE655" t="s">
        <v>76</v>
      </c>
      <c r="AF655" t="s">
        <v>3961</v>
      </c>
      <c r="AG655" t="s">
        <v>77</v>
      </c>
    </row>
    <row r="656" spans="1:33" x14ac:dyDescent="0.25">
      <c r="A656" t="str">
        <f>"1518902899"</f>
        <v>1518902899</v>
      </c>
      <c r="B656" t="str">
        <f>"02740518"</f>
        <v>02740518</v>
      </c>
      <c r="C656" t="s">
        <v>6254</v>
      </c>
      <c r="D656" t="s">
        <v>6255</v>
      </c>
      <c r="E656" t="s">
        <v>6256</v>
      </c>
      <c r="L656" t="s">
        <v>79</v>
      </c>
      <c r="M656" t="s">
        <v>72</v>
      </c>
      <c r="R656" t="s">
        <v>6257</v>
      </c>
      <c r="W656" t="s">
        <v>6256</v>
      </c>
      <c r="X656" t="s">
        <v>625</v>
      </c>
      <c r="Y656" t="s">
        <v>326</v>
      </c>
      <c r="Z656" t="s">
        <v>73</v>
      </c>
      <c r="AA656" t="str">
        <f>"14127-1573"</f>
        <v>14127-1573</v>
      </c>
      <c r="AB656" t="s">
        <v>74</v>
      </c>
      <c r="AC656" t="s">
        <v>75</v>
      </c>
      <c r="AD656" t="s">
        <v>72</v>
      </c>
      <c r="AE656" t="s">
        <v>76</v>
      </c>
      <c r="AF656" t="s">
        <v>3974</v>
      </c>
      <c r="AG656" t="s">
        <v>77</v>
      </c>
    </row>
    <row r="657" spans="1:33" x14ac:dyDescent="0.25">
      <c r="A657" t="str">
        <f>"1669436887"</f>
        <v>1669436887</v>
      </c>
      <c r="B657" t="str">
        <f>"02429418"</f>
        <v>02429418</v>
      </c>
      <c r="C657" t="s">
        <v>6258</v>
      </c>
      <c r="D657" t="s">
        <v>6259</v>
      </c>
      <c r="E657" t="s">
        <v>6260</v>
      </c>
      <c r="L657" t="s">
        <v>80</v>
      </c>
      <c r="M657" t="s">
        <v>72</v>
      </c>
      <c r="R657" t="s">
        <v>6261</v>
      </c>
      <c r="W657" t="s">
        <v>6262</v>
      </c>
      <c r="X657" t="s">
        <v>4709</v>
      </c>
      <c r="Y657" t="s">
        <v>326</v>
      </c>
      <c r="Z657" t="s">
        <v>73</v>
      </c>
      <c r="AA657" t="str">
        <f>"14127-1749"</f>
        <v>14127-1749</v>
      </c>
      <c r="AB657" t="s">
        <v>74</v>
      </c>
      <c r="AC657" t="s">
        <v>75</v>
      </c>
      <c r="AD657" t="s">
        <v>72</v>
      </c>
      <c r="AE657" t="s">
        <v>76</v>
      </c>
      <c r="AF657" t="s">
        <v>3961</v>
      </c>
      <c r="AG657" t="s">
        <v>77</v>
      </c>
    </row>
    <row r="658" spans="1:33" x14ac:dyDescent="0.25">
      <c r="A658" t="str">
        <f>"1699875229"</f>
        <v>1699875229</v>
      </c>
      <c r="B658" t="str">
        <f>"01878257"</f>
        <v>01878257</v>
      </c>
      <c r="C658" t="s">
        <v>6263</v>
      </c>
      <c r="D658" t="s">
        <v>826</v>
      </c>
      <c r="E658" t="s">
        <v>827</v>
      </c>
      <c r="L658" t="s">
        <v>79</v>
      </c>
      <c r="M658" t="s">
        <v>72</v>
      </c>
      <c r="R658" t="s">
        <v>828</v>
      </c>
      <c r="W658" t="s">
        <v>827</v>
      </c>
      <c r="X658" t="s">
        <v>829</v>
      </c>
      <c r="Y658" t="s">
        <v>117</v>
      </c>
      <c r="Z658" t="s">
        <v>73</v>
      </c>
      <c r="AA658" t="str">
        <f>"14209-1120"</f>
        <v>14209-1120</v>
      </c>
      <c r="AB658" t="s">
        <v>74</v>
      </c>
      <c r="AC658" t="s">
        <v>75</v>
      </c>
      <c r="AD658" t="s">
        <v>72</v>
      </c>
      <c r="AE658" t="s">
        <v>76</v>
      </c>
      <c r="AF658" t="s">
        <v>4043</v>
      </c>
      <c r="AG658" t="s">
        <v>77</v>
      </c>
    </row>
    <row r="659" spans="1:33" x14ac:dyDescent="0.25">
      <c r="A659" t="str">
        <f>"1326089087"</f>
        <v>1326089087</v>
      </c>
      <c r="B659" t="str">
        <f>"02166512"</f>
        <v>02166512</v>
      </c>
      <c r="C659" t="s">
        <v>6264</v>
      </c>
      <c r="D659" t="s">
        <v>6265</v>
      </c>
      <c r="E659" t="s">
        <v>6266</v>
      </c>
      <c r="L659" t="s">
        <v>79</v>
      </c>
      <c r="M659" t="s">
        <v>72</v>
      </c>
      <c r="R659" t="s">
        <v>6267</v>
      </c>
      <c r="W659" t="s">
        <v>6268</v>
      </c>
      <c r="X659" t="s">
        <v>295</v>
      </c>
      <c r="Y659" t="s">
        <v>117</v>
      </c>
      <c r="Z659" t="s">
        <v>73</v>
      </c>
      <c r="AA659" t="str">
        <f>"14215-3021"</f>
        <v>14215-3021</v>
      </c>
      <c r="AB659" t="s">
        <v>74</v>
      </c>
      <c r="AC659" t="s">
        <v>75</v>
      </c>
      <c r="AD659" t="s">
        <v>72</v>
      </c>
      <c r="AE659" t="s">
        <v>76</v>
      </c>
      <c r="AF659" t="s">
        <v>3974</v>
      </c>
      <c r="AG659" t="s">
        <v>77</v>
      </c>
    </row>
    <row r="660" spans="1:33" x14ac:dyDescent="0.25">
      <c r="A660" t="str">
        <f>"1699089987"</f>
        <v>1699089987</v>
      </c>
      <c r="B660" t="str">
        <f>"03448693"</f>
        <v>03448693</v>
      </c>
      <c r="C660" t="s">
        <v>6269</v>
      </c>
      <c r="D660" t="s">
        <v>6270</v>
      </c>
      <c r="E660" t="s">
        <v>6271</v>
      </c>
      <c r="L660" t="s">
        <v>79</v>
      </c>
      <c r="M660" t="s">
        <v>72</v>
      </c>
      <c r="R660" t="s">
        <v>6272</v>
      </c>
      <c r="W660" t="s">
        <v>6271</v>
      </c>
      <c r="X660" t="s">
        <v>3776</v>
      </c>
      <c r="Y660" t="s">
        <v>237</v>
      </c>
      <c r="Z660" t="s">
        <v>73</v>
      </c>
      <c r="AA660" t="str">
        <f>"14224-3445"</f>
        <v>14224-3445</v>
      </c>
      <c r="AB660" t="s">
        <v>74</v>
      </c>
      <c r="AC660" t="s">
        <v>75</v>
      </c>
      <c r="AD660" t="s">
        <v>72</v>
      </c>
      <c r="AE660" t="s">
        <v>76</v>
      </c>
      <c r="AF660" t="s">
        <v>3961</v>
      </c>
      <c r="AG660" t="s">
        <v>77</v>
      </c>
    </row>
    <row r="661" spans="1:33" x14ac:dyDescent="0.25">
      <c r="A661" t="str">
        <f>"1902807035"</f>
        <v>1902807035</v>
      </c>
      <c r="B661" t="str">
        <f>"02199613"</f>
        <v>02199613</v>
      </c>
      <c r="C661" t="s">
        <v>6273</v>
      </c>
      <c r="D661" t="s">
        <v>6274</v>
      </c>
      <c r="E661" t="s">
        <v>6275</v>
      </c>
      <c r="L661" t="s">
        <v>71</v>
      </c>
      <c r="M661" t="s">
        <v>72</v>
      </c>
      <c r="R661" t="s">
        <v>6276</v>
      </c>
      <c r="W661" t="s">
        <v>6275</v>
      </c>
      <c r="X661" t="s">
        <v>6277</v>
      </c>
      <c r="Y661" t="s">
        <v>851</v>
      </c>
      <c r="Z661" t="s">
        <v>73</v>
      </c>
      <c r="AA661" t="str">
        <f>"14047-9592"</f>
        <v>14047-9592</v>
      </c>
      <c r="AB661" t="s">
        <v>74</v>
      </c>
      <c r="AC661" t="s">
        <v>75</v>
      </c>
      <c r="AD661" t="s">
        <v>72</v>
      </c>
      <c r="AE661" t="s">
        <v>76</v>
      </c>
      <c r="AF661" t="s">
        <v>3974</v>
      </c>
      <c r="AG661" t="s">
        <v>77</v>
      </c>
    </row>
    <row r="662" spans="1:33" x14ac:dyDescent="0.25">
      <c r="A662" t="str">
        <f>"1841393055"</f>
        <v>1841393055</v>
      </c>
      <c r="B662" t="str">
        <f>"02629743"</f>
        <v>02629743</v>
      </c>
      <c r="C662" t="s">
        <v>6278</v>
      </c>
      <c r="D662" t="s">
        <v>3899</v>
      </c>
      <c r="E662" t="s">
        <v>3900</v>
      </c>
      <c r="L662" t="s">
        <v>79</v>
      </c>
      <c r="M662" t="s">
        <v>72</v>
      </c>
      <c r="R662" t="s">
        <v>3898</v>
      </c>
      <c r="W662" t="s">
        <v>3901</v>
      </c>
      <c r="X662" t="s">
        <v>2987</v>
      </c>
      <c r="Y662" t="s">
        <v>117</v>
      </c>
      <c r="Z662" t="s">
        <v>73</v>
      </c>
      <c r="AA662" t="str">
        <f>"14217-1039"</f>
        <v>14217-1039</v>
      </c>
      <c r="AB662" t="s">
        <v>74</v>
      </c>
      <c r="AC662" t="s">
        <v>75</v>
      </c>
      <c r="AD662" t="s">
        <v>72</v>
      </c>
      <c r="AE662" t="s">
        <v>76</v>
      </c>
      <c r="AF662" t="s">
        <v>3974</v>
      </c>
      <c r="AG662" t="s">
        <v>77</v>
      </c>
    </row>
    <row r="663" spans="1:33" x14ac:dyDescent="0.25">
      <c r="A663" t="str">
        <f>"1629095161"</f>
        <v>1629095161</v>
      </c>
      <c r="B663" t="str">
        <f>"03792972"</f>
        <v>03792972</v>
      </c>
      <c r="C663" t="s">
        <v>6279</v>
      </c>
      <c r="D663" t="s">
        <v>6280</v>
      </c>
      <c r="E663" t="s">
        <v>6281</v>
      </c>
      <c r="L663" t="s">
        <v>79</v>
      </c>
      <c r="M663" t="s">
        <v>72</v>
      </c>
      <c r="R663" t="s">
        <v>6282</v>
      </c>
      <c r="W663" t="s">
        <v>6281</v>
      </c>
      <c r="X663" t="s">
        <v>3928</v>
      </c>
      <c r="Y663" t="s">
        <v>503</v>
      </c>
      <c r="Z663" t="s">
        <v>73</v>
      </c>
      <c r="AA663" t="str">
        <f>"14009-1113"</f>
        <v>14009-1113</v>
      </c>
      <c r="AB663" t="s">
        <v>74</v>
      </c>
      <c r="AC663" t="s">
        <v>75</v>
      </c>
      <c r="AD663" t="s">
        <v>72</v>
      </c>
      <c r="AE663" t="s">
        <v>76</v>
      </c>
      <c r="AF663" t="s">
        <v>3974</v>
      </c>
      <c r="AG663" t="s">
        <v>77</v>
      </c>
    </row>
    <row r="664" spans="1:33" x14ac:dyDescent="0.25">
      <c r="A664" t="str">
        <f>"1750339693"</f>
        <v>1750339693</v>
      </c>
      <c r="B664" t="str">
        <f>"02394154"</f>
        <v>02394154</v>
      </c>
      <c r="C664" t="s">
        <v>6283</v>
      </c>
      <c r="D664" t="s">
        <v>6284</v>
      </c>
      <c r="E664" t="s">
        <v>6285</v>
      </c>
      <c r="L664" t="s">
        <v>71</v>
      </c>
      <c r="M664" t="s">
        <v>72</v>
      </c>
      <c r="R664" t="s">
        <v>6286</v>
      </c>
      <c r="W664" t="s">
        <v>6287</v>
      </c>
      <c r="X664" t="s">
        <v>6288</v>
      </c>
      <c r="Y664" t="s">
        <v>247</v>
      </c>
      <c r="Z664" t="s">
        <v>73</v>
      </c>
      <c r="AA664" t="str">
        <f>"14227-1104"</f>
        <v>14227-1104</v>
      </c>
      <c r="AB664" t="s">
        <v>74</v>
      </c>
      <c r="AC664" t="s">
        <v>75</v>
      </c>
      <c r="AD664" t="s">
        <v>72</v>
      </c>
      <c r="AE664" t="s">
        <v>76</v>
      </c>
      <c r="AF664" t="s">
        <v>3961</v>
      </c>
      <c r="AG664" t="s">
        <v>77</v>
      </c>
    </row>
    <row r="665" spans="1:33" x14ac:dyDescent="0.25">
      <c r="A665" t="str">
        <f>"1588741565"</f>
        <v>1588741565</v>
      </c>
      <c r="B665" t="str">
        <f>"02344154"</f>
        <v>02344154</v>
      </c>
      <c r="C665" t="s">
        <v>6289</v>
      </c>
      <c r="D665" t="s">
        <v>6290</v>
      </c>
      <c r="E665" t="s">
        <v>6291</v>
      </c>
      <c r="L665" t="s">
        <v>79</v>
      </c>
      <c r="M665" t="s">
        <v>72</v>
      </c>
      <c r="R665" t="s">
        <v>6292</v>
      </c>
      <c r="W665" t="s">
        <v>6291</v>
      </c>
      <c r="X665" t="s">
        <v>6293</v>
      </c>
      <c r="Y665" t="s">
        <v>237</v>
      </c>
      <c r="Z665" t="s">
        <v>73</v>
      </c>
      <c r="AA665" t="str">
        <f>"14224-1447"</f>
        <v>14224-1447</v>
      </c>
      <c r="AB665" t="s">
        <v>74</v>
      </c>
      <c r="AC665" t="s">
        <v>75</v>
      </c>
      <c r="AD665" t="s">
        <v>72</v>
      </c>
      <c r="AE665" t="s">
        <v>76</v>
      </c>
      <c r="AF665" t="s">
        <v>3974</v>
      </c>
      <c r="AG665" t="s">
        <v>77</v>
      </c>
    </row>
    <row r="666" spans="1:33" x14ac:dyDescent="0.25">
      <c r="A666" t="str">
        <f>"1427011782"</f>
        <v>1427011782</v>
      </c>
      <c r="B666" t="str">
        <f>"01619878"</f>
        <v>01619878</v>
      </c>
      <c r="C666" t="s">
        <v>6294</v>
      </c>
      <c r="D666" t="s">
        <v>727</v>
      </c>
      <c r="E666" t="s">
        <v>728</v>
      </c>
      <c r="G666" t="s">
        <v>4694</v>
      </c>
      <c r="H666" t="s">
        <v>729</v>
      </c>
      <c r="J666" t="s">
        <v>4695</v>
      </c>
      <c r="L666" t="s">
        <v>79</v>
      </c>
      <c r="M666" t="s">
        <v>72</v>
      </c>
      <c r="R666" t="s">
        <v>730</v>
      </c>
      <c r="W666" t="s">
        <v>731</v>
      </c>
      <c r="X666" t="s">
        <v>732</v>
      </c>
      <c r="Y666" t="s">
        <v>733</v>
      </c>
      <c r="Z666" t="s">
        <v>73</v>
      </c>
      <c r="AA666" t="str">
        <f>"14120-6196"</f>
        <v>14120-6196</v>
      </c>
      <c r="AB666" t="s">
        <v>74</v>
      </c>
      <c r="AC666" t="s">
        <v>75</v>
      </c>
      <c r="AD666" t="s">
        <v>72</v>
      </c>
      <c r="AE666" t="s">
        <v>76</v>
      </c>
      <c r="AF666" t="s">
        <v>3974</v>
      </c>
      <c r="AG666" t="s">
        <v>77</v>
      </c>
    </row>
    <row r="667" spans="1:33" x14ac:dyDescent="0.25">
      <c r="A667" t="str">
        <f>"1982846952"</f>
        <v>1982846952</v>
      </c>
      <c r="B667" t="str">
        <f>"03190250"</f>
        <v>03190250</v>
      </c>
      <c r="C667" t="s">
        <v>6295</v>
      </c>
      <c r="D667" t="s">
        <v>6296</v>
      </c>
      <c r="E667" t="s">
        <v>6297</v>
      </c>
      <c r="G667" t="s">
        <v>6295</v>
      </c>
      <c r="H667" t="s">
        <v>4831</v>
      </c>
      <c r="J667" t="s">
        <v>6298</v>
      </c>
      <c r="L667" t="s">
        <v>71</v>
      </c>
      <c r="M667" t="s">
        <v>72</v>
      </c>
      <c r="R667" t="s">
        <v>6299</v>
      </c>
      <c r="W667" t="s">
        <v>6297</v>
      </c>
      <c r="X667" t="s">
        <v>6300</v>
      </c>
      <c r="Y667" t="s">
        <v>209</v>
      </c>
      <c r="Z667" t="s">
        <v>73</v>
      </c>
      <c r="AA667" t="str">
        <f>"14305-1929"</f>
        <v>14305-1929</v>
      </c>
      <c r="AB667" t="s">
        <v>74</v>
      </c>
      <c r="AC667" t="s">
        <v>75</v>
      </c>
      <c r="AD667" t="s">
        <v>72</v>
      </c>
      <c r="AE667" t="s">
        <v>76</v>
      </c>
      <c r="AF667" t="s">
        <v>3974</v>
      </c>
      <c r="AG667" t="s">
        <v>77</v>
      </c>
    </row>
    <row r="668" spans="1:33" x14ac:dyDescent="0.25">
      <c r="A668" t="str">
        <f>"1457330623"</f>
        <v>1457330623</v>
      </c>
      <c r="B668" t="str">
        <f>"02082593"</f>
        <v>02082593</v>
      </c>
      <c r="C668" t="s">
        <v>6301</v>
      </c>
      <c r="D668" t="s">
        <v>6302</v>
      </c>
      <c r="E668" t="s">
        <v>6303</v>
      </c>
      <c r="G668" t="s">
        <v>6304</v>
      </c>
      <c r="H668" t="s">
        <v>698</v>
      </c>
      <c r="J668" t="s">
        <v>6305</v>
      </c>
      <c r="L668" t="s">
        <v>80</v>
      </c>
      <c r="M668" t="s">
        <v>72</v>
      </c>
      <c r="R668" t="s">
        <v>6306</v>
      </c>
      <c r="W668" t="s">
        <v>6303</v>
      </c>
      <c r="X668" t="s">
        <v>6307</v>
      </c>
      <c r="Y668" t="s">
        <v>326</v>
      </c>
      <c r="Z668" t="s">
        <v>73</v>
      </c>
      <c r="AA668" t="str">
        <f>"14127-1752"</f>
        <v>14127-1752</v>
      </c>
      <c r="AB668" t="s">
        <v>74</v>
      </c>
      <c r="AC668" t="s">
        <v>75</v>
      </c>
      <c r="AD668" t="s">
        <v>72</v>
      </c>
      <c r="AE668" t="s">
        <v>76</v>
      </c>
      <c r="AF668" t="s">
        <v>3961</v>
      </c>
      <c r="AG668" t="s">
        <v>77</v>
      </c>
    </row>
    <row r="669" spans="1:33" x14ac:dyDescent="0.25">
      <c r="A669" t="str">
        <f>"1447291703"</f>
        <v>1447291703</v>
      </c>
      <c r="B669" t="str">
        <f>"01501371"</f>
        <v>01501371</v>
      </c>
      <c r="C669" t="s">
        <v>6308</v>
      </c>
      <c r="D669" t="s">
        <v>599</v>
      </c>
      <c r="E669" t="s">
        <v>600</v>
      </c>
      <c r="G669" t="s">
        <v>6309</v>
      </c>
      <c r="H669" t="s">
        <v>601</v>
      </c>
      <c r="J669" t="s">
        <v>6310</v>
      </c>
      <c r="L669" t="s">
        <v>80</v>
      </c>
      <c r="M669" t="s">
        <v>72</v>
      </c>
      <c r="R669" t="s">
        <v>602</v>
      </c>
      <c r="W669" t="s">
        <v>600</v>
      </c>
      <c r="X669" t="s">
        <v>552</v>
      </c>
      <c r="Y669" t="s">
        <v>221</v>
      </c>
      <c r="Z669" t="s">
        <v>73</v>
      </c>
      <c r="AA669" t="str">
        <f>"14221-3698"</f>
        <v>14221-3698</v>
      </c>
      <c r="AB669" t="s">
        <v>74</v>
      </c>
      <c r="AC669" t="s">
        <v>75</v>
      </c>
      <c r="AD669" t="s">
        <v>72</v>
      </c>
      <c r="AE669" t="s">
        <v>76</v>
      </c>
      <c r="AF669" t="s">
        <v>3974</v>
      </c>
      <c r="AG669" t="s">
        <v>77</v>
      </c>
    </row>
    <row r="670" spans="1:33" x14ac:dyDescent="0.25">
      <c r="A670" t="str">
        <f>"1215955984"</f>
        <v>1215955984</v>
      </c>
      <c r="B670" t="str">
        <f>"01358552"</f>
        <v>01358552</v>
      </c>
      <c r="C670" t="s">
        <v>6311</v>
      </c>
      <c r="D670" t="s">
        <v>6312</v>
      </c>
      <c r="E670" t="s">
        <v>6313</v>
      </c>
      <c r="G670" t="s">
        <v>5351</v>
      </c>
      <c r="H670" t="s">
        <v>5352</v>
      </c>
      <c r="J670" t="s">
        <v>5353</v>
      </c>
      <c r="L670" t="s">
        <v>80</v>
      </c>
      <c r="M670" t="s">
        <v>72</v>
      </c>
      <c r="R670" t="s">
        <v>6314</v>
      </c>
      <c r="W670" t="s">
        <v>6313</v>
      </c>
      <c r="X670" t="s">
        <v>5355</v>
      </c>
      <c r="Y670" t="s">
        <v>242</v>
      </c>
      <c r="Z670" t="s">
        <v>73</v>
      </c>
      <c r="AA670" t="str">
        <f>"14701-7081"</f>
        <v>14701-7081</v>
      </c>
      <c r="AB670" t="s">
        <v>74</v>
      </c>
      <c r="AC670" t="s">
        <v>75</v>
      </c>
      <c r="AD670" t="s">
        <v>72</v>
      </c>
      <c r="AE670" t="s">
        <v>76</v>
      </c>
      <c r="AF670" t="s">
        <v>4049</v>
      </c>
      <c r="AG670" t="s">
        <v>77</v>
      </c>
    </row>
    <row r="671" spans="1:33" x14ac:dyDescent="0.25">
      <c r="A671" t="str">
        <f>"1104819952"</f>
        <v>1104819952</v>
      </c>
      <c r="B671" t="str">
        <f>"01744921"</f>
        <v>01744921</v>
      </c>
      <c r="C671" t="s">
        <v>6315</v>
      </c>
      <c r="D671" t="s">
        <v>1941</v>
      </c>
      <c r="E671" t="s">
        <v>1942</v>
      </c>
      <c r="G671" t="s">
        <v>6316</v>
      </c>
      <c r="H671" t="s">
        <v>1943</v>
      </c>
      <c r="J671" t="s">
        <v>6317</v>
      </c>
      <c r="L671" t="s">
        <v>80</v>
      </c>
      <c r="M671" t="s">
        <v>72</v>
      </c>
      <c r="R671" t="s">
        <v>1944</v>
      </c>
      <c r="W671" t="s">
        <v>1945</v>
      </c>
      <c r="X671" t="s">
        <v>1946</v>
      </c>
      <c r="Y671" t="s">
        <v>117</v>
      </c>
      <c r="Z671" t="s">
        <v>73</v>
      </c>
      <c r="AA671" t="str">
        <f>"14220-1634"</f>
        <v>14220-1634</v>
      </c>
      <c r="AB671" t="s">
        <v>74</v>
      </c>
      <c r="AC671" t="s">
        <v>75</v>
      </c>
      <c r="AD671" t="s">
        <v>72</v>
      </c>
      <c r="AE671" t="s">
        <v>76</v>
      </c>
      <c r="AF671" t="s">
        <v>3961</v>
      </c>
      <c r="AG671" t="s">
        <v>77</v>
      </c>
    </row>
    <row r="672" spans="1:33" x14ac:dyDescent="0.25">
      <c r="A672" t="str">
        <f>"1821047010"</f>
        <v>1821047010</v>
      </c>
      <c r="B672" t="str">
        <f>"01567959"</f>
        <v>01567959</v>
      </c>
      <c r="C672" t="s">
        <v>6318</v>
      </c>
      <c r="D672" t="s">
        <v>1783</v>
      </c>
      <c r="E672" t="s">
        <v>1784</v>
      </c>
      <c r="G672" t="s">
        <v>6318</v>
      </c>
      <c r="H672" t="s">
        <v>6319</v>
      </c>
      <c r="J672" t="s">
        <v>6320</v>
      </c>
      <c r="L672" t="s">
        <v>79</v>
      </c>
      <c r="M672" t="s">
        <v>72</v>
      </c>
      <c r="R672" t="s">
        <v>1785</v>
      </c>
      <c r="W672" t="s">
        <v>1784</v>
      </c>
      <c r="X672" t="s">
        <v>1542</v>
      </c>
      <c r="Y672" t="s">
        <v>221</v>
      </c>
      <c r="Z672" t="s">
        <v>73</v>
      </c>
      <c r="AA672" t="str">
        <f>"14221-8216"</f>
        <v>14221-8216</v>
      </c>
      <c r="AB672" t="s">
        <v>74</v>
      </c>
      <c r="AC672" t="s">
        <v>75</v>
      </c>
      <c r="AD672" t="s">
        <v>72</v>
      </c>
      <c r="AE672" t="s">
        <v>76</v>
      </c>
      <c r="AG672" t="s">
        <v>77</v>
      </c>
    </row>
    <row r="673" spans="1:33" x14ac:dyDescent="0.25">
      <c r="A673" t="str">
        <f>"1437177425"</f>
        <v>1437177425</v>
      </c>
      <c r="B673" t="str">
        <f>"00603374"</f>
        <v>00603374</v>
      </c>
      <c r="C673" t="s">
        <v>6321</v>
      </c>
      <c r="D673" t="s">
        <v>2601</v>
      </c>
      <c r="E673" t="s">
        <v>2602</v>
      </c>
      <c r="G673" t="s">
        <v>6321</v>
      </c>
      <c r="H673" t="s">
        <v>2603</v>
      </c>
      <c r="J673" t="s">
        <v>6322</v>
      </c>
      <c r="L673" t="s">
        <v>79</v>
      </c>
      <c r="M673" t="s">
        <v>72</v>
      </c>
      <c r="R673" t="s">
        <v>2604</v>
      </c>
      <c r="W673" t="s">
        <v>2605</v>
      </c>
      <c r="X673" t="s">
        <v>951</v>
      </c>
      <c r="Y673" t="s">
        <v>117</v>
      </c>
      <c r="Z673" t="s">
        <v>73</v>
      </c>
      <c r="AA673" t="str">
        <f>"14225-1085"</f>
        <v>14225-1085</v>
      </c>
      <c r="AB673" t="s">
        <v>74</v>
      </c>
      <c r="AC673" t="s">
        <v>75</v>
      </c>
      <c r="AD673" t="s">
        <v>72</v>
      </c>
      <c r="AE673" t="s">
        <v>76</v>
      </c>
      <c r="AF673" t="s">
        <v>4043</v>
      </c>
      <c r="AG673" t="s">
        <v>77</v>
      </c>
    </row>
    <row r="674" spans="1:33" x14ac:dyDescent="0.25">
      <c r="A674" t="str">
        <f>"1093710576"</f>
        <v>1093710576</v>
      </c>
      <c r="B674" t="str">
        <f>"00630864"</f>
        <v>00630864</v>
      </c>
      <c r="C674" t="s">
        <v>6323</v>
      </c>
      <c r="D674" t="s">
        <v>6324</v>
      </c>
      <c r="E674" t="s">
        <v>6325</v>
      </c>
      <c r="G674" t="s">
        <v>6323</v>
      </c>
      <c r="H674" t="s">
        <v>6326</v>
      </c>
      <c r="J674" t="s">
        <v>6327</v>
      </c>
      <c r="L674" t="s">
        <v>71</v>
      </c>
      <c r="M674" t="s">
        <v>72</v>
      </c>
      <c r="R674" t="s">
        <v>6328</v>
      </c>
      <c r="W674" t="s">
        <v>6325</v>
      </c>
      <c r="X674" t="s">
        <v>6329</v>
      </c>
      <c r="Y674" t="s">
        <v>209</v>
      </c>
      <c r="Z674" t="s">
        <v>73</v>
      </c>
      <c r="AA674" t="str">
        <f>"14301-1703"</f>
        <v>14301-1703</v>
      </c>
      <c r="AB674" t="s">
        <v>74</v>
      </c>
      <c r="AC674" t="s">
        <v>75</v>
      </c>
      <c r="AD674" t="s">
        <v>72</v>
      </c>
      <c r="AE674" t="s">
        <v>76</v>
      </c>
      <c r="AF674" t="s">
        <v>4043</v>
      </c>
      <c r="AG674" t="s">
        <v>77</v>
      </c>
    </row>
    <row r="675" spans="1:33" x14ac:dyDescent="0.25">
      <c r="A675" t="str">
        <f>"1407821986"</f>
        <v>1407821986</v>
      </c>
      <c r="B675" t="str">
        <f>"00632013"</f>
        <v>00632013</v>
      </c>
      <c r="C675" t="s">
        <v>6330</v>
      </c>
      <c r="D675" t="s">
        <v>632</v>
      </c>
      <c r="E675" t="s">
        <v>633</v>
      </c>
      <c r="G675" t="s">
        <v>4047</v>
      </c>
      <c r="H675" t="s">
        <v>634</v>
      </c>
      <c r="J675" t="s">
        <v>4048</v>
      </c>
      <c r="L675" t="s">
        <v>80</v>
      </c>
      <c r="M675" t="s">
        <v>72</v>
      </c>
      <c r="R675" t="s">
        <v>635</v>
      </c>
      <c r="W675" t="s">
        <v>636</v>
      </c>
      <c r="X675" t="s">
        <v>637</v>
      </c>
      <c r="Y675" t="s">
        <v>354</v>
      </c>
      <c r="Z675" t="s">
        <v>73</v>
      </c>
      <c r="AA675" t="str">
        <f>"14787-0010"</f>
        <v>14787-0010</v>
      </c>
      <c r="AB675" t="s">
        <v>74</v>
      </c>
      <c r="AC675" t="s">
        <v>75</v>
      </c>
      <c r="AD675" t="s">
        <v>72</v>
      </c>
      <c r="AE675" t="s">
        <v>76</v>
      </c>
      <c r="AF675" t="s">
        <v>4049</v>
      </c>
      <c r="AG675" t="s">
        <v>77</v>
      </c>
    </row>
    <row r="676" spans="1:33" x14ac:dyDescent="0.25">
      <c r="A676" t="str">
        <f>"1124080056"</f>
        <v>1124080056</v>
      </c>
      <c r="B676" t="str">
        <f>"01295587"</f>
        <v>01295587</v>
      </c>
      <c r="C676" t="s">
        <v>6331</v>
      </c>
      <c r="D676" t="s">
        <v>6332</v>
      </c>
      <c r="E676" t="s">
        <v>6333</v>
      </c>
      <c r="G676" t="s">
        <v>6334</v>
      </c>
      <c r="H676" t="s">
        <v>6335</v>
      </c>
      <c r="J676" t="s">
        <v>6336</v>
      </c>
      <c r="L676" t="s">
        <v>80</v>
      </c>
      <c r="M676" t="s">
        <v>72</v>
      </c>
      <c r="R676" t="s">
        <v>366</v>
      </c>
      <c r="W676" t="s">
        <v>6337</v>
      </c>
      <c r="X676" t="s">
        <v>6338</v>
      </c>
      <c r="Y676" t="s">
        <v>733</v>
      </c>
      <c r="Z676" t="s">
        <v>73</v>
      </c>
      <c r="AA676" t="str">
        <f>"14120-1200"</f>
        <v>14120-1200</v>
      </c>
      <c r="AB676" t="s">
        <v>74</v>
      </c>
      <c r="AC676" t="s">
        <v>75</v>
      </c>
      <c r="AD676" t="s">
        <v>72</v>
      </c>
      <c r="AE676" t="s">
        <v>76</v>
      </c>
      <c r="AF676" t="s">
        <v>3961</v>
      </c>
      <c r="AG676" t="s">
        <v>77</v>
      </c>
    </row>
    <row r="677" spans="1:33" x14ac:dyDescent="0.25">
      <c r="A677" t="str">
        <f>"1003872854"</f>
        <v>1003872854</v>
      </c>
      <c r="B677" t="str">
        <f>"02047285"</f>
        <v>02047285</v>
      </c>
      <c r="C677" t="s">
        <v>6339</v>
      </c>
      <c r="D677" t="s">
        <v>6340</v>
      </c>
      <c r="E677" t="s">
        <v>6341</v>
      </c>
      <c r="G677" t="s">
        <v>5076</v>
      </c>
      <c r="H677" t="s">
        <v>5077</v>
      </c>
      <c r="J677" t="s">
        <v>5078</v>
      </c>
      <c r="L677" t="s">
        <v>79</v>
      </c>
      <c r="M677" t="s">
        <v>72</v>
      </c>
      <c r="R677" t="s">
        <v>6342</v>
      </c>
      <c r="W677" t="s">
        <v>6341</v>
      </c>
      <c r="X677" t="s">
        <v>6343</v>
      </c>
      <c r="Y677" t="s">
        <v>117</v>
      </c>
      <c r="Z677" t="s">
        <v>73</v>
      </c>
      <c r="AA677" t="str">
        <f>"14203-1126"</f>
        <v>14203-1126</v>
      </c>
      <c r="AB677" t="s">
        <v>74</v>
      </c>
      <c r="AC677" t="s">
        <v>75</v>
      </c>
      <c r="AD677" t="s">
        <v>72</v>
      </c>
      <c r="AE677" t="s">
        <v>76</v>
      </c>
      <c r="AF677" t="s">
        <v>3974</v>
      </c>
      <c r="AG677" t="s">
        <v>77</v>
      </c>
    </row>
    <row r="678" spans="1:33" x14ac:dyDescent="0.25">
      <c r="A678" t="str">
        <f>"1952372575"</f>
        <v>1952372575</v>
      </c>
      <c r="B678" t="str">
        <f>"01965026"</f>
        <v>01965026</v>
      </c>
      <c r="C678" t="s">
        <v>6344</v>
      </c>
      <c r="D678" t="s">
        <v>6345</v>
      </c>
      <c r="E678" t="s">
        <v>6346</v>
      </c>
      <c r="G678" t="s">
        <v>4101</v>
      </c>
      <c r="H678" t="s">
        <v>4102</v>
      </c>
      <c r="I678">
        <v>44</v>
      </c>
      <c r="J678" t="s">
        <v>4103</v>
      </c>
      <c r="L678" t="s">
        <v>80</v>
      </c>
      <c r="M678" t="s">
        <v>72</v>
      </c>
      <c r="R678" t="s">
        <v>6346</v>
      </c>
      <c r="W678" t="s">
        <v>6346</v>
      </c>
      <c r="X678" t="s">
        <v>4105</v>
      </c>
      <c r="Y678" t="s">
        <v>242</v>
      </c>
      <c r="Z678" t="s">
        <v>73</v>
      </c>
      <c r="AA678" t="str">
        <f>"14701-2545"</f>
        <v>14701-2545</v>
      </c>
      <c r="AB678" t="s">
        <v>74</v>
      </c>
      <c r="AC678" t="s">
        <v>75</v>
      </c>
      <c r="AD678" t="s">
        <v>72</v>
      </c>
      <c r="AE678" t="s">
        <v>76</v>
      </c>
      <c r="AF678" t="s">
        <v>4049</v>
      </c>
      <c r="AG678" t="s">
        <v>77</v>
      </c>
    </row>
    <row r="679" spans="1:33" x14ac:dyDescent="0.25">
      <c r="A679" t="str">
        <f>"1427299973"</f>
        <v>1427299973</v>
      </c>
      <c r="B679" t="str">
        <f>"03632157"</f>
        <v>03632157</v>
      </c>
      <c r="C679" t="s">
        <v>6347</v>
      </c>
      <c r="D679" t="s">
        <v>6348</v>
      </c>
      <c r="E679" t="s">
        <v>6349</v>
      </c>
      <c r="G679" t="s">
        <v>4772</v>
      </c>
      <c r="H679" t="s">
        <v>801</v>
      </c>
      <c r="J679" t="s">
        <v>4773</v>
      </c>
      <c r="L679" t="s">
        <v>71</v>
      </c>
      <c r="M679" t="s">
        <v>72</v>
      </c>
      <c r="R679" t="s">
        <v>6350</v>
      </c>
      <c r="W679" t="s">
        <v>6349</v>
      </c>
      <c r="X679" t="s">
        <v>3410</v>
      </c>
      <c r="Y679" t="s">
        <v>326</v>
      </c>
      <c r="Z679" t="s">
        <v>73</v>
      </c>
      <c r="AA679" t="str">
        <f>"14127-1500"</f>
        <v>14127-1500</v>
      </c>
      <c r="AB679" t="s">
        <v>74</v>
      </c>
      <c r="AC679" t="s">
        <v>75</v>
      </c>
      <c r="AD679" t="s">
        <v>72</v>
      </c>
      <c r="AE679" t="s">
        <v>76</v>
      </c>
      <c r="AF679" t="s">
        <v>3974</v>
      </c>
      <c r="AG679" t="s">
        <v>77</v>
      </c>
    </row>
    <row r="680" spans="1:33" x14ac:dyDescent="0.25">
      <c r="A680" t="str">
        <f>"1295817369"</f>
        <v>1295817369</v>
      </c>
      <c r="B680" t="str">
        <f>"01572123"</f>
        <v>01572123</v>
      </c>
      <c r="C680" t="s">
        <v>6351</v>
      </c>
      <c r="D680" t="s">
        <v>6352</v>
      </c>
      <c r="E680" t="s">
        <v>6353</v>
      </c>
      <c r="G680" t="s">
        <v>4825</v>
      </c>
      <c r="H680" t="s">
        <v>4826</v>
      </c>
      <c r="J680" t="s">
        <v>4827</v>
      </c>
      <c r="L680" t="s">
        <v>79</v>
      </c>
      <c r="M680" t="s">
        <v>72</v>
      </c>
      <c r="R680" t="s">
        <v>6354</v>
      </c>
      <c r="W680" t="s">
        <v>6353</v>
      </c>
      <c r="X680" t="s">
        <v>3402</v>
      </c>
      <c r="Y680" t="s">
        <v>326</v>
      </c>
      <c r="Z680" t="s">
        <v>73</v>
      </c>
      <c r="AA680" t="str">
        <f>"14127-1562"</f>
        <v>14127-1562</v>
      </c>
      <c r="AB680" t="s">
        <v>74</v>
      </c>
      <c r="AC680" t="s">
        <v>75</v>
      </c>
      <c r="AD680" t="s">
        <v>72</v>
      </c>
      <c r="AE680" t="s">
        <v>76</v>
      </c>
      <c r="AG680" t="s">
        <v>77</v>
      </c>
    </row>
    <row r="681" spans="1:33" x14ac:dyDescent="0.25">
      <c r="A681" t="str">
        <f>"1538113873"</f>
        <v>1538113873</v>
      </c>
      <c r="B681" t="str">
        <f>"01530221"</f>
        <v>01530221</v>
      </c>
      <c r="C681" t="s">
        <v>6355</v>
      </c>
      <c r="D681" t="s">
        <v>2955</v>
      </c>
      <c r="E681" t="s">
        <v>2956</v>
      </c>
      <c r="G681" t="s">
        <v>6356</v>
      </c>
      <c r="H681" t="s">
        <v>6357</v>
      </c>
      <c r="J681" t="s">
        <v>6358</v>
      </c>
      <c r="L681" t="s">
        <v>79</v>
      </c>
      <c r="M681" t="s">
        <v>72</v>
      </c>
      <c r="R681" t="s">
        <v>2957</v>
      </c>
      <c r="W681" t="s">
        <v>2956</v>
      </c>
      <c r="X681" t="s">
        <v>2284</v>
      </c>
      <c r="Y681" t="s">
        <v>851</v>
      </c>
      <c r="Z681" t="s">
        <v>73</v>
      </c>
      <c r="AA681" t="str">
        <f>"14047-9306"</f>
        <v>14047-9306</v>
      </c>
      <c r="AB681" t="s">
        <v>74</v>
      </c>
      <c r="AC681" t="s">
        <v>75</v>
      </c>
      <c r="AD681" t="s">
        <v>72</v>
      </c>
      <c r="AE681" t="s">
        <v>76</v>
      </c>
      <c r="AF681" t="s">
        <v>3961</v>
      </c>
      <c r="AG681" t="s">
        <v>77</v>
      </c>
    </row>
    <row r="682" spans="1:33" x14ac:dyDescent="0.25">
      <c r="A682" t="str">
        <f>"1396799698"</f>
        <v>1396799698</v>
      </c>
      <c r="B682" t="str">
        <f>"01816513"</f>
        <v>01816513</v>
      </c>
      <c r="C682" t="s">
        <v>6359</v>
      </c>
      <c r="D682" t="s">
        <v>6360</v>
      </c>
      <c r="E682" t="s">
        <v>6361</v>
      </c>
      <c r="G682" t="s">
        <v>3969</v>
      </c>
      <c r="H682" t="s">
        <v>3970</v>
      </c>
      <c r="J682" t="s">
        <v>3971</v>
      </c>
      <c r="L682" t="s">
        <v>79</v>
      </c>
      <c r="M682" t="s">
        <v>72</v>
      </c>
      <c r="R682" t="s">
        <v>6362</v>
      </c>
      <c r="W682" t="s">
        <v>6361</v>
      </c>
      <c r="X682" t="s">
        <v>1146</v>
      </c>
      <c r="Y682" t="s">
        <v>436</v>
      </c>
      <c r="Z682" t="s">
        <v>73</v>
      </c>
      <c r="AA682" t="str">
        <f>"14217-1390"</f>
        <v>14217-1390</v>
      </c>
      <c r="AB682" t="s">
        <v>74</v>
      </c>
      <c r="AC682" t="s">
        <v>75</v>
      </c>
      <c r="AD682" t="s">
        <v>72</v>
      </c>
      <c r="AE682" t="s">
        <v>76</v>
      </c>
      <c r="AF682" t="s">
        <v>3974</v>
      </c>
      <c r="AG682" t="s">
        <v>77</v>
      </c>
    </row>
    <row r="683" spans="1:33" x14ac:dyDescent="0.25">
      <c r="A683" t="str">
        <f>"1073772562"</f>
        <v>1073772562</v>
      </c>
      <c r="C683" t="s">
        <v>6363</v>
      </c>
      <c r="G683" t="s">
        <v>5717</v>
      </c>
      <c r="H683" t="s">
        <v>694</v>
      </c>
      <c r="J683" t="s">
        <v>3686</v>
      </c>
      <c r="K683" t="s">
        <v>89</v>
      </c>
      <c r="L683" t="s">
        <v>92</v>
      </c>
      <c r="M683" t="s">
        <v>72</v>
      </c>
      <c r="R683" t="s">
        <v>6364</v>
      </c>
      <c r="S683" t="s">
        <v>695</v>
      </c>
      <c r="T683" t="s">
        <v>217</v>
      </c>
      <c r="U683" t="s">
        <v>73</v>
      </c>
      <c r="V683" t="str">
        <f>"147601140"</f>
        <v>147601140</v>
      </c>
      <c r="AC683" t="s">
        <v>75</v>
      </c>
      <c r="AD683" t="s">
        <v>72</v>
      </c>
      <c r="AE683" t="s">
        <v>93</v>
      </c>
      <c r="AG683" t="s">
        <v>77</v>
      </c>
    </row>
    <row r="684" spans="1:33" x14ac:dyDescent="0.25">
      <c r="B684" t="str">
        <f>"01736456"</f>
        <v>01736456</v>
      </c>
      <c r="C684" t="s">
        <v>6365</v>
      </c>
      <c r="D684" t="s">
        <v>6366</v>
      </c>
      <c r="E684" t="s">
        <v>6365</v>
      </c>
      <c r="F684">
        <v>160818293</v>
      </c>
      <c r="G684" t="s">
        <v>5717</v>
      </c>
      <c r="H684" t="s">
        <v>694</v>
      </c>
      <c r="J684" t="s">
        <v>3686</v>
      </c>
      <c r="L684" t="s">
        <v>35</v>
      </c>
      <c r="M684" t="s">
        <v>81</v>
      </c>
      <c r="W684" t="s">
        <v>6365</v>
      </c>
      <c r="X684" t="s">
        <v>6367</v>
      </c>
      <c r="Y684" t="s">
        <v>217</v>
      </c>
      <c r="Z684" t="s">
        <v>73</v>
      </c>
      <c r="AA684" t="str">
        <f t="shared" ref="AA684:AA696" si="9">"14760-1140"</f>
        <v>14760-1140</v>
      </c>
      <c r="AB684" t="s">
        <v>88</v>
      </c>
      <c r="AC684" t="s">
        <v>75</v>
      </c>
      <c r="AD684" t="s">
        <v>72</v>
      </c>
      <c r="AE684" t="s">
        <v>76</v>
      </c>
      <c r="AG684" t="s">
        <v>77</v>
      </c>
    </row>
    <row r="685" spans="1:33" x14ac:dyDescent="0.25">
      <c r="B685" t="str">
        <f>"01736474"</f>
        <v>01736474</v>
      </c>
      <c r="C685" t="s">
        <v>6368</v>
      </c>
      <c r="D685" t="s">
        <v>6369</v>
      </c>
      <c r="E685" t="s">
        <v>6368</v>
      </c>
      <c r="F685">
        <v>160818293</v>
      </c>
      <c r="G685" t="s">
        <v>5717</v>
      </c>
      <c r="H685" t="s">
        <v>694</v>
      </c>
      <c r="J685" t="s">
        <v>3686</v>
      </c>
      <c r="L685" t="s">
        <v>35</v>
      </c>
      <c r="M685" t="s">
        <v>81</v>
      </c>
      <c r="W685" t="s">
        <v>6368</v>
      </c>
      <c r="X685" t="s">
        <v>6370</v>
      </c>
      <c r="Y685" t="s">
        <v>217</v>
      </c>
      <c r="Z685" t="s">
        <v>73</v>
      </c>
      <c r="AA685" t="str">
        <f t="shared" si="9"/>
        <v>14760-1140</v>
      </c>
      <c r="AB685" t="s">
        <v>88</v>
      </c>
      <c r="AC685" t="s">
        <v>75</v>
      </c>
      <c r="AD685" t="s">
        <v>72</v>
      </c>
      <c r="AE685" t="s">
        <v>76</v>
      </c>
      <c r="AG685" t="s">
        <v>77</v>
      </c>
    </row>
    <row r="686" spans="1:33" x14ac:dyDescent="0.25">
      <c r="B686" t="str">
        <f>"01736492"</f>
        <v>01736492</v>
      </c>
      <c r="C686" t="s">
        <v>6371</v>
      </c>
      <c r="D686" t="s">
        <v>6372</v>
      </c>
      <c r="E686" t="s">
        <v>6371</v>
      </c>
      <c r="F686">
        <v>160818293</v>
      </c>
      <c r="G686" t="s">
        <v>5717</v>
      </c>
      <c r="H686" t="s">
        <v>694</v>
      </c>
      <c r="J686" t="s">
        <v>3686</v>
      </c>
      <c r="L686" t="s">
        <v>35</v>
      </c>
      <c r="M686" t="s">
        <v>81</v>
      </c>
      <c r="W686" t="s">
        <v>6371</v>
      </c>
      <c r="X686" t="s">
        <v>6373</v>
      </c>
      <c r="Y686" t="s">
        <v>217</v>
      </c>
      <c r="Z686" t="s">
        <v>73</v>
      </c>
      <c r="AA686" t="str">
        <f t="shared" si="9"/>
        <v>14760-1140</v>
      </c>
      <c r="AB686" t="s">
        <v>88</v>
      </c>
      <c r="AC686" t="s">
        <v>75</v>
      </c>
      <c r="AD686" t="s">
        <v>72</v>
      </c>
      <c r="AE686" t="s">
        <v>76</v>
      </c>
      <c r="AG686" t="s">
        <v>77</v>
      </c>
    </row>
    <row r="687" spans="1:33" x14ac:dyDescent="0.25">
      <c r="B687" t="str">
        <f>"01746363"</f>
        <v>01746363</v>
      </c>
      <c r="C687" t="s">
        <v>6374</v>
      </c>
      <c r="D687" t="s">
        <v>6375</v>
      </c>
      <c r="E687" t="s">
        <v>6374</v>
      </c>
      <c r="F687">
        <v>160818293</v>
      </c>
      <c r="G687" t="s">
        <v>5717</v>
      </c>
      <c r="H687" t="s">
        <v>694</v>
      </c>
      <c r="J687" t="s">
        <v>3686</v>
      </c>
      <c r="L687" t="s">
        <v>35</v>
      </c>
      <c r="M687" t="s">
        <v>81</v>
      </c>
      <c r="W687" t="s">
        <v>6374</v>
      </c>
      <c r="X687" t="s">
        <v>6376</v>
      </c>
      <c r="Y687" t="s">
        <v>217</v>
      </c>
      <c r="Z687" t="s">
        <v>73</v>
      </c>
      <c r="AA687" t="str">
        <f t="shared" si="9"/>
        <v>14760-1140</v>
      </c>
      <c r="AB687" t="s">
        <v>88</v>
      </c>
      <c r="AC687" t="s">
        <v>75</v>
      </c>
      <c r="AD687" t="s">
        <v>72</v>
      </c>
      <c r="AE687" t="s">
        <v>76</v>
      </c>
      <c r="AG687" t="s">
        <v>77</v>
      </c>
    </row>
    <row r="688" spans="1:33" x14ac:dyDescent="0.25">
      <c r="B688" t="str">
        <f>"02000282"</f>
        <v>02000282</v>
      </c>
      <c r="C688" t="s">
        <v>856</v>
      </c>
      <c r="D688" t="s">
        <v>857</v>
      </c>
      <c r="E688" t="s">
        <v>856</v>
      </c>
      <c r="F688">
        <v>160818293</v>
      </c>
      <c r="G688" t="s">
        <v>5717</v>
      </c>
      <c r="H688" t="s">
        <v>694</v>
      </c>
      <c r="J688" t="s">
        <v>3686</v>
      </c>
      <c r="L688" t="s">
        <v>35</v>
      </c>
      <c r="M688" t="s">
        <v>81</v>
      </c>
      <c r="W688" t="s">
        <v>856</v>
      </c>
      <c r="X688" t="s">
        <v>858</v>
      </c>
      <c r="Y688" t="s">
        <v>217</v>
      </c>
      <c r="Z688" t="s">
        <v>73</v>
      </c>
      <c r="AA688" t="str">
        <f t="shared" si="9"/>
        <v>14760-1140</v>
      </c>
      <c r="AB688" t="s">
        <v>88</v>
      </c>
      <c r="AC688" t="s">
        <v>75</v>
      </c>
      <c r="AD688" t="s">
        <v>72</v>
      </c>
      <c r="AE688" t="s">
        <v>76</v>
      </c>
      <c r="AG688" t="s">
        <v>77</v>
      </c>
    </row>
    <row r="689" spans="1:33" x14ac:dyDescent="0.25">
      <c r="B689" t="str">
        <f>"02178485"</f>
        <v>02178485</v>
      </c>
      <c r="C689" t="s">
        <v>6377</v>
      </c>
      <c r="D689" t="s">
        <v>6378</v>
      </c>
      <c r="E689" t="s">
        <v>6379</v>
      </c>
      <c r="F689">
        <v>160818293</v>
      </c>
      <c r="G689" t="s">
        <v>5717</v>
      </c>
      <c r="H689" t="s">
        <v>694</v>
      </c>
      <c r="J689" t="s">
        <v>3686</v>
      </c>
      <c r="L689" t="s">
        <v>35</v>
      </c>
      <c r="M689" t="s">
        <v>81</v>
      </c>
      <c r="W689" t="s">
        <v>6379</v>
      </c>
      <c r="X689" t="s">
        <v>190</v>
      </c>
      <c r="Y689" t="s">
        <v>217</v>
      </c>
      <c r="Z689" t="s">
        <v>73</v>
      </c>
      <c r="AA689" t="str">
        <f t="shared" si="9"/>
        <v>14760-1140</v>
      </c>
      <c r="AB689" t="s">
        <v>88</v>
      </c>
      <c r="AC689" t="s">
        <v>75</v>
      </c>
      <c r="AD689" t="s">
        <v>72</v>
      </c>
      <c r="AE689" t="s">
        <v>76</v>
      </c>
      <c r="AG689" t="s">
        <v>77</v>
      </c>
    </row>
    <row r="690" spans="1:33" x14ac:dyDescent="0.25">
      <c r="B690" t="str">
        <f>"02246000"</f>
        <v>02246000</v>
      </c>
      <c r="C690" t="s">
        <v>6380</v>
      </c>
      <c r="D690" t="s">
        <v>2866</v>
      </c>
      <c r="E690" t="s">
        <v>2865</v>
      </c>
      <c r="F690">
        <v>160818293</v>
      </c>
      <c r="G690" t="s">
        <v>5717</v>
      </c>
      <c r="H690" t="s">
        <v>694</v>
      </c>
      <c r="J690" t="s">
        <v>3686</v>
      </c>
      <c r="L690" t="s">
        <v>35</v>
      </c>
      <c r="M690" t="s">
        <v>81</v>
      </c>
      <c r="W690" t="s">
        <v>2865</v>
      </c>
      <c r="X690" t="s">
        <v>189</v>
      </c>
      <c r="Y690" t="s">
        <v>217</v>
      </c>
      <c r="Z690" t="s">
        <v>73</v>
      </c>
      <c r="AA690" t="str">
        <f t="shared" si="9"/>
        <v>14760-1140</v>
      </c>
      <c r="AB690" t="s">
        <v>88</v>
      </c>
      <c r="AC690" t="s">
        <v>75</v>
      </c>
      <c r="AD690" t="s">
        <v>72</v>
      </c>
      <c r="AE690" t="s">
        <v>76</v>
      </c>
      <c r="AG690" t="s">
        <v>77</v>
      </c>
    </row>
    <row r="691" spans="1:33" x14ac:dyDescent="0.25">
      <c r="B691" t="str">
        <f>"02246019"</f>
        <v>02246019</v>
      </c>
      <c r="C691" t="s">
        <v>6381</v>
      </c>
      <c r="D691" t="s">
        <v>2868</v>
      </c>
      <c r="E691" t="s">
        <v>2867</v>
      </c>
      <c r="F691">
        <v>160818293</v>
      </c>
      <c r="G691" t="s">
        <v>5717</v>
      </c>
      <c r="H691" t="s">
        <v>694</v>
      </c>
      <c r="J691" t="s">
        <v>3686</v>
      </c>
      <c r="L691" t="s">
        <v>35</v>
      </c>
      <c r="M691" t="s">
        <v>81</v>
      </c>
      <c r="W691" t="s">
        <v>2867</v>
      </c>
      <c r="X691" t="s">
        <v>101</v>
      </c>
      <c r="Y691" t="s">
        <v>217</v>
      </c>
      <c r="Z691" t="s">
        <v>73</v>
      </c>
      <c r="AA691" t="str">
        <f t="shared" si="9"/>
        <v>14760-1140</v>
      </c>
      <c r="AB691" t="s">
        <v>88</v>
      </c>
      <c r="AC691" t="s">
        <v>75</v>
      </c>
      <c r="AD691" t="s">
        <v>72</v>
      </c>
      <c r="AE691" t="s">
        <v>76</v>
      </c>
      <c r="AG691" t="s">
        <v>77</v>
      </c>
    </row>
    <row r="692" spans="1:33" x14ac:dyDescent="0.25">
      <c r="B692" t="str">
        <f>"02255503"</f>
        <v>02255503</v>
      </c>
      <c r="C692" t="s">
        <v>3240</v>
      </c>
      <c r="D692" t="s">
        <v>3241</v>
      </c>
      <c r="E692" t="s">
        <v>3240</v>
      </c>
      <c r="F692">
        <v>160818293</v>
      </c>
      <c r="G692" t="s">
        <v>5717</v>
      </c>
      <c r="H692" t="s">
        <v>694</v>
      </c>
      <c r="J692" t="s">
        <v>3686</v>
      </c>
      <c r="L692" t="s">
        <v>35</v>
      </c>
      <c r="M692" t="s">
        <v>81</v>
      </c>
      <c r="W692" t="s">
        <v>3240</v>
      </c>
      <c r="X692" t="s">
        <v>3242</v>
      </c>
      <c r="Y692" t="s">
        <v>217</v>
      </c>
      <c r="Z692" t="s">
        <v>73</v>
      </c>
      <c r="AA692" t="str">
        <f t="shared" si="9"/>
        <v>14760-1140</v>
      </c>
      <c r="AB692" t="s">
        <v>88</v>
      </c>
      <c r="AC692" t="s">
        <v>75</v>
      </c>
      <c r="AD692" t="s">
        <v>72</v>
      </c>
      <c r="AE692" t="s">
        <v>76</v>
      </c>
      <c r="AG692" t="s">
        <v>77</v>
      </c>
    </row>
    <row r="693" spans="1:33" x14ac:dyDescent="0.25">
      <c r="B693" t="str">
        <f>"02591702"</f>
        <v>02591702</v>
      </c>
      <c r="C693" t="s">
        <v>6382</v>
      </c>
      <c r="D693" t="s">
        <v>3244</v>
      </c>
      <c r="E693" t="s">
        <v>3243</v>
      </c>
      <c r="F693">
        <v>160818293</v>
      </c>
      <c r="G693" t="s">
        <v>5717</v>
      </c>
      <c r="H693" t="s">
        <v>694</v>
      </c>
      <c r="J693" t="s">
        <v>3686</v>
      </c>
      <c r="L693" t="s">
        <v>35</v>
      </c>
      <c r="M693" t="s">
        <v>81</v>
      </c>
      <c r="W693" t="s">
        <v>3243</v>
      </c>
      <c r="X693" t="s">
        <v>695</v>
      </c>
      <c r="Y693" t="s">
        <v>217</v>
      </c>
      <c r="Z693" t="s">
        <v>73</v>
      </c>
      <c r="AA693" t="str">
        <f t="shared" si="9"/>
        <v>14760-1140</v>
      </c>
      <c r="AB693" t="s">
        <v>88</v>
      </c>
      <c r="AC693" t="s">
        <v>75</v>
      </c>
      <c r="AD693" t="s">
        <v>72</v>
      </c>
      <c r="AE693" t="s">
        <v>76</v>
      </c>
      <c r="AG693" t="s">
        <v>77</v>
      </c>
    </row>
    <row r="694" spans="1:33" x14ac:dyDescent="0.25">
      <c r="B694" t="str">
        <f>"02625414"</f>
        <v>02625414</v>
      </c>
      <c r="C694" t="s">
        <v>2478</v>
      </c>
      <c r="D694" t="s">
        <v>2479</v>
      </c>
      <c r="E694" t="s">
        <v>2478</v>
      </c>
      <c r="F694">
        <v>160818293</v>
      </c>
      <c r="G694" t="s">
        <v>5717</v>
      </c>
      <c r="H694" t="s">
        <v>694</v>
      </c>
      <c r="J694" t="s">
        <v>3686</v>
      </c>
      <c r="L694" t="s">
        <v>35</v>
      </c>
      <c r="M694" t="s">
        <v>81</v>
      </c>
      <c r="W694" t="s">
        <v>2478</v>
      </c>
      <c r="X694" t="s">
        <v>2480</v>
      </c>
      <c r="Y694" t="s">
        <v>217</v>
      </c>
      <c r="Z694" t="s">
        <v>73</v>
      </c>
      <c r="AA694" t="str">
        <f t="shared" si="9"/>
        <v>14760-1140</v>
      </c>
      <c r="AB694" t="s">
        <v>88</v>
      </c>
      <c r="AC694" t="s">
        <v>75</v>
      </c>
      <c r="AD694" t="s">
        <v>72</v>
      </c>
      <c r="AE694" t="s">
        <v>76</v>
      </c>
      <c r="AG694" t="s">
        <v>77</v>
      </c>
    </row>
    <row r="695" spans="1:33" x14ac:dyDescent="0.25">
      <c r="B695" t="str">
        <f>"02701417"</f>
        <v>02701417</v>
      </c>
      <c r="C695" t="s">
        <v>6383</v>
      </c>
      <c r="D695" t="s">
        <v>2265</v>
      </c>
      <c r="E695" t="s">
        <v>2264</v>
      </c>
      <c r="F695">
        <v>160818293</v>
      </c>
      <c r="G695" t="s">
        <v>5717</v>
      </c>
      <c r="H695" t="s">
        <v>694</v>
      </c>
      <c r="J695" t="s">
        <v>3686</v>
      </c>
      <c r="L695" t="s">
        <v>35</v>
      </c>
      <c r="M695" t="s">
        <v>81</v>
      </c>
      <c r="W695" t="s">
        <v>2264</v>
      </c>
      <c r="X695" t="s">
        <v>103</v>
      </c>
      <c r="Y695" t="s">
        <v>217</v>
      </c>
      <c r="Z695" t="s">
        <v>73</v>
      </c>
      <c r="AA695" t="str">
        <f t="shared" si="9"/>
        <v>14760-1140</v>
      </c>
      <c r="AB695" t="s">
        <v>88</v>
      </c>
      <c r="AC695" t="s">
        <v>75</v>
      </c>
      <c r="AD695" t="s">
        <v>72</v>
      </c>
      <c r="AE695" t="s">
        <v>76</v>
      </c>
      <c r="AG695" t="s">
        <v>77</v>
      </c>
    </row>
    <row r="696" spans="1:33" x14ac:dyDescent="0.25">
      <c r="B696" t="str">
        <f>"03306392"</f>
        <v>03306392</v>
      </c>
      <c r="C696" t="s">
        <v>3805</v>
      </c>
      <c r="D696" t="s">
        <v>3806</v>
      </c>
      <c r="E696" t="s">
        <v>3805</v>
      </c>
      <c r="F696">
        <v>160818293</v>
      </c>
      <c r="G696" t="s">
        <v>5717</v>
      </c>
      <c r="H696" t="s">
        <v>694</v>
      </c>
      <c r="J696" t="s">
        <v>3686</v>
      </c>
      <c r="L696" t="s">
        <v>35</v>
      </c>
      <c r="M696" t="s">
        <v>81</v>
      </c>
      <c r="W696" t="s">
        <v>3805</v>
      </c>
      <c r="X696" t="s">
        <v>695</v>
      </c>
      <c r="Y696" t="s">
        <v>217</v>
      </c>
      <c r="Z696" t="s">
        <v>73</v>
      </c>
      <c r="AA696" t="str">
        <f t="shared" si="9"/>
        <v>14760-1140</v>
      </c>
      <c r="AB696" t="s">
        <v>88</v>
      </c>
      <c r="AC696" t="s">
        <v>75</v>
      </c>
      <c r="AD696" t="s">
        <v>72</v>
      </c>
      <c r="AE696" t="s">
        <v>76</v>
      </c>
      <c r="AG696" t="s">
        <v>77</v>
      </c>
    </row>
    <row r="697" spans="1:33" x14ac:dyDescent="0.25">
      <c r="A697" t="str">
        <f>"1578645792"</f>
        <v>1578645792</v>
      </c>
      <c r="B697" t="str">
        <f>"00721408"</f>
        <v>00721408</v>
      </c>
      <c r="C697" t="s">
        <v>6384</v>
      </c>
      <c r="D697" t="s">
        <v>6385</v>
      </c>
      <c r="E697" t="s">
        <v>6386</v>
      </c>
      <c r="G697" t="s">
        <v>6384</v>
      </c>
      <c r="L697" t="s">
        <v>80</v>
      </c>
      <c r="M697" t="s">
        <v>72</v>
      </c>
      <c r="R697" t="s">
        <v>6387</v>
      </c>
      <c r="W697" t="s">
        <v>6388</v>
      </c>
      <c r="X697" t="s">
        <v>187</v>
      </c>
      <c r="Y697" t="s">
        <v>188</v>
      </c>
      <c r="Z697" t="s">
        <v>73</v>
      </c>
      <c r="AA697" t="str">
        <f>"14092-1903"</f>
        <v>14092-1903</v>
      </c>
      <c r="AB697" t="s">
        <v>74</v>
      </c>
      <c r="AC697" t="s">
        <v>75</v>
      </c>
      <c r="AD697" t="s">
        <v>72</v>
      </c>
      <c r="AE697" t="s">
        <v>76</v>
      </c>
      <c r="AF697" t="s">
        <v>4431</v>
      </c>
      <c r="AG697" t="s">
        <v>77</v>
      </c>
    </row>
    <row r="698" spans="1:33" x14ac:dyDescent="0.25">
      <c r="A698" t="str">
        <f>"1962561399"</f>
        <v>1962561399</v>
      </c>
      <c r="B698" t="str">
        <f>"02277705"</f>
        <v>02277705</v>
      </c>
      <c r="C698" t="s">
        <v>6389</v>
      </c>
      <c r="D698" t="s">
        <v>6390</v>
      </c>
      <c r="E698" t="s">
        <v>6391</v>
      </c>
      <c r="G698" t="s">
        <v>6389</v>
      </c>
      <c r="L698" t="s">
        <v>79</v>
      </c>
      <c r="M698" t="s">
        <v>72</v>
      </c>
      <c r="R698" t="s">
        <v>6392</v>
      </c>
      <c r="W698" t="s">
        <v>6393</v>
      </c>
      <c r="X698" t="s">
        <v>1320</v>
      </c>
      <c r="Y698" t="s">
        <v>117</v>
      </c>
      <c r="Z698" t="s">
        <v>73</v>
      </c>
      <c r="AA698" t="str">
        <f>"14215-1145"</f>
        <v>14215-1145</v>
      </c>
      <c r="AB698" t="s">
        <v>74</v>
      </c>
      <c r="AC698" t="s">
        <v>75</v>
      </c>
      <c r="AD698" t="s">
        <v>72</v>
      </c>
      <c r="AE698" t="s">
        <v>76</v>
      </c>
      <c r="AF698" t="s">
        <v>3974</v>
      </c>
      <c r="AG698" t="s">
        <v>77</v>
      </c>
    </row>
    <row r="699" spans="1:33" x14ac:dyDescent="0.25">
      <c r="A699" t="str">
        <f>"1134426539"</f>
        <v>1134426539</v>
      </c>
      <c r="B699" t="str">
        <f>"03920192"</f>
        <v>03920192</v>
      </c>
      <c r="C699" t="s">
        <v>6394</v>
      </c>
      <c r="D699" t="s">
        <v>6395</v>
      </c>
      <c r="E699" t="s">
        <v>6396</v>
      </c>
      <c r="G699" t="s">
        <v>6394</v>
      </c>
      <c r="L699" t="s">
        <v>71</v>
      </c>
      <c r="M699" t="s">
        <v>72</v>
      </c>
      <c r="R699" t="s">
        <v>6396</v>
      </c>
      <c r="W699" t="s">
        <v>6397</v>
      </c>
      <c r="X699" t="s">
        <v>6398</v>
      </c>
      <c r="Y699" t="s">
        <v>6399</v>
      </c>
      <c r="Z699" t="s">
        <v>191</v>
      </c>
      <c r="AA699" t="str">
        <f>"05156-3060"</f>
        <v>05156-3060</v>
      </c>
      <c r="AB699" t="s">
        <v>74</v>
      </c>
      <c r="AC699" t="s">
        <v>75</v>
      </c>
      <c r="AD699" t="s">
        <v>72</v>
      </c>
      <c r="AE699" t="s">
        <v>76</v>
      </c>
      <c r="AF699" t="s">
        <v>3974</v>
      </c>
      <c r="AG699" t="s">
        <v>77</v>
      </c>
    </row>
    <row r="700" spans="1:33" x14ac:dyDescent="0.25">
      <c r="A700" t="str">
        <f>"1316266711"</f>
        <v>1316266711</v>
      </c>
      <c r="B700" t="str">
        <f>"03464046"</f>
        <v>03464046</v>
      </c>
      <c r="C700" t="s">
        <v>6400</v>
      </c>
      <c r="D700" t="s">
        <v>2630</v>
      </c>
      <c r="E700" t="s">
        <v>2631</v>
      </c>
      <c r="G700" t="s">
        <v>4856</v>
      </c>
      <c r="H700" t="s">
        <v>1762</v>
      </c>
      <c r="J700" t="s">
        <v>4857</v>
      </c>
      <c r="L700" t="s">
        <v>71</v>
      </c>
      <c r="M700" t="s">
        <v>72</v>
      </c>
      <c r="R700" t="s">
        <v>2632</v>
      </c>
      <c r="W700" t="s">
        <v>2631</v>
      </c>
      <c r="X700" t="s">
        <v>2633</v>
      </c>
      <c r="Y700" t="s">
        <v>326</v>
      </c>
      <c r="Z700" t="s">
        <v>73</v>
      </c>
      <c r="AA700" t="str">
        <f>"14127-1599"</f>
        <v>14127-1599</v>
      </c>
      <c r="AB700" t="s">
        <v>74</v>
      </c>
      <c r="AC700" t="s">
        <v>75</v>
      </c>
      <c r="AD700" t="s">
        <v>72</v>
      </c>
      <c r="AE700" t="s">
        <v>76</v>
      </c>
      <c r="AF700" t="s">
        <v>3974</v>
      </c>
      <c r="AG700" t="s">
        <v>77</v>
      </c>
    </row>
    <row r="701" spans="1:33" x14ac:dyDescent="0.25">
      <c r="A701" t="str">
        <f>"1255588521"</f>
        <v>1255588521</v>
      </c>
      <c r="B701" t="str">
        <f>"03353871"</f>
        <v>03353871</v>
      </c>
      <c r="C701" t="s">
        <v>6401</v>
      </c>
      <c r="D701" t="s">
        <v>2162</v>
      </c>
      <c r="E701" t="s">
        <v>2163</v>
      </c>
      <c r="G701" t="s">
        <v>6401</v>
      </c>
      <c r="H701" t="s">
        <v>2164</v>
      </c>
      <c r="J701" t="s">
        <v>6402</v>
      </c>
      <c r="L701" t="s">
        <v>79</v>
      </c>
      <c r="M701" t="s">
        <v>72</v>
      </c>
      <c r="R701" t="s">
        <v>2165</v>
      </c>
      <c r="W701" t="s">
        <v>2166</v>
      </c>
      <c r="X701" t="s">
        <v>2167</v>
      </c>
      <c r="Y701" t="s">
        <v>228</v>
      </c>
      <c r="Z701" t="s">
        <v>73</v>
      </c>
      <c r="AA701" t="str">
        <f>"14226-1039"</f>
        <v>14226-1039</v>
      </c>
      <c r="AB701" t="s">
        <v>74</v>
      </c>
      <c r="AC701" t="s">
        <v>75</v>
      </c>
      <c r="AD701" t="s">
        <v>72</v>
      </c>
      <c r="AE701" t="s">
        <v>76</v>
      </c>
      <c r="AF701" t="s">
        <v>3974</v>
      </c>
      <c r="AG701" t="s">
        <v>77</v>
      </c>
    </row>
    <row r="702" spans="1:33" x14ac:dyDescent="0.25">
      <c r="A702" t="str">
        <f>"1467424200"</f>
        <v>1467424200</v>
      </c>
      <c r="B702" t="str">
        <f>"02867536"</f>
        <v>02867536</v>
      </c>
      <c r="C702" t="s">
        <v>6403</v>
      </c>
      <c r="D702" t="s">
        <v>6404</v>
      </c>
      <c r="E702" t="s">
        <v>6405</v>
      </c>
      <c r="G702" t="s">
        <v>4768</v>
      </c>
      <c r="H702" t="s">
        <v>4769</v>
      </c>
      <c r="J702" t="s">
        <v>4770</v>
      </c>
      <c r="L702" t="s">
        <v>35</v>
      </c>
      <c r="M702" t="s">
        <v>72</v>
      </c>
      <c r="R702" t="s">
        <v>6406</v>
      </c>
      <c r="W702" t="s">
        <v>6405</v>
      </c>
      <c r="X702" t="s">
        <v>6407</v>
      </c>
      <c r="Y702" t="s">
        <v>247</v>
      </c>
      <c r="Z702" t="s">
        <v>73</v>
      </c>
      <c r="AA702" t="str">
        <f>"14227-1461"</f>
        <v>14227-1461</v>
      </c>
      <c r="AB702" t="s">
        <v>105</v>
      </c>
      <c r="AC702" t="s">
        <v>75</v>
      </c>
      <c r="AD702" t="s">
        <v>72</v>
      </c>
      <c r="AE702" t="s">
        <v>76</v>
      </c>
      <c r="AF702" t="s">
        <v>4078</v>
      </c>
      <c r="AG702" t="s">
        <v>77</v>
      </c>
    </row>
    <row r="703" spans="1:33" x14ac:dyDescent="0.25">
      <c r="A703" t="str">
        <f>"1164464921"</f>
        <v>1164464921</v>
      </c>
      <c r="B703" t="str">
        <f>"00354412"</f>
        <v>00354412</v>
      </c>
      <c r="C703" t="s">
        <v>6408</v>
      </c>
      <c r="D703" t="s">
        <v>6409</v>
      </c>
      <c r="E703" t="s">
        <v>6077</v>
      </c>
      <c r="G703" t="s">
        <v>4768</v>
      </c>
      <c r="H703" t="s">
        <v>4769</v>
      </c>
      <c r="J703" t="s">
        <v>4770</v>
      </c>
      <c r="L703" t="s">
        <v>251</v>
      </c>
      <c r="M703" t="s">
        <v>72</v>
      </c>
      <c r="R703" t="s">
        <v>6077</v>
      </c>
      <c r="W703" t="s">
        <v>6077</v>
      </c>
      <c r="X703" t="s">
        <v>234</v>
      </c>
      <c r="Y703" t="s">
        <v>117</v>
      </c>
      <c r="Z703" t="s">
        <v>73</v>
      </c>
      <c r="AA703" t="str">
        <f>"14220-2039"</f>
        <v>14220-2039</v>
      </c>
      <c r="AB703" t="s">
        <v>83</v>
      </c>
      <c r="AC703" t="s">
        <v>75</v>
      </c>
      <c r="AD703" t="s">
        <v>72</v>
      </c>
      <c r="AE703" t="s">
        <v>76</v>
      </c>
      <c r="AF703" t="s">
        <v>3986</v>
      </c>
      <c r="AG703" t="s">
        <v>77</v>
      </c>
    </row>
    <row r="704" spans="1:33" x14ac:dyDescent="0.25">
      <c r="A704" t="str">
        <f>"1659310605"</f>
        <v>1659310605</v>
      </c>
      <c r="B704" t="str">
        <f>"03001645"</f>
        <v>03001645</v>
      </c>
      <c r="C704" t="s">
        <v>6408</v>
      </c>
      <c r="D704" t="s">
        <v>6409</v>
      </c>
      <c r="E704" t="s">
        <v>6077</v>
      </c>
      <c r="G704" t="s">
        <v>4768</v>
      </c>
      <c r="H704" t="s">
        <v>4769</v>
      </c>
      <c r="J704" t="s">
        <v>4770</v>
      </c>
      <c r="L704" t="s">
        <v>251</v>
      </c>
      <c r="M704" t="s">
        <v>72</v>
      </c>
      <c r="R704" t="s">
        <v>6077</v>
      </c>
      <c r="W704" t="s">
        <v>6077</v>
      </c>
      <c r="X704" t="s">
        <v>234</v>
      </c>
      <c r="Y704" t="s">
        <v>117</v>
      </c>
      <c r="Z704" t="s">
        <v>73</v>
      </c>
      <c r="AA704" t="str">
        <f>"14220-2039"</f>
        <v>14220-2039</v>
      </c>
      <c r="AB704" t="s">
        <v>86</v>
      </c>
      <c r="AC704" t="s">
        <v>75</v>
      </c>
      <c r="AD704" t="s">
        <v>72</v>
      </c>
      <c r="AE704" t="s">
        <v>76</v>
      </c>
      <c r="AF704" t="s">
        <v>3986</v>
      </c>
      <c r="AG704" t="s">
        <v>77</v>
      </c>
    </row>
    <row r="705" spans="1:33" x14ac:dyDescent="0.25">
      <c r="A705" t="str">
        <f>"1508159179"</f>
        <v>1508159179</v>
      </c>
      <c r="B705" t="str">
        <f>"03388534"</f>
        <v>03388534</v>
      </c>
      <c r="C705" t="s">
        <v>6410</v>
      </c>
      <c r="D705" t="s">
        <v>6411</v>
      </c>
      <c r="E705" t="s">
        <v>5469</v>
      </c>
      <c r="G705" t="s">
        <v>4768</v>
      </c>
      <c r="H705" t="s">
        <v>4769</v>
      </c>
      <c r="J705" t="s">
        <v>4770</v>
      </c>
      <c r="L705" t="s">
        <v>35</v>
      </c>
      <c r="M705" t="s">
        <v>72</v>
      </c>
      <c r="R705" t="s">
        <v>6412</v>
      </c>
      <c r="W705" t="s">
        <v>5469</v>
      </c>
      <c r="X705" t="s">
        <v>234</v>
      </c>
      <c r="Y705" t="s">
        <v>117</v>
      </c>
      <c r="Z705" t="s">
        <v>73</v>
      </c>
      <c r="AA705" t="str">
        <f>"14220-2039"</f>
        <v>14220-2039</v>
      </c>
      <c r="AB705" t="s">
        <v>112</v>
      </c>
      <c r="AC705" t="s">
        <v>75</v>
      </c>
      <c r="AD705" t="s">
        <v>72</v>
      </c>
      <c r="AE705" t="s">
        <v>76</v>
      </c>
      <c r="AF705" t="s">
        <v>3986</v>
      </c>
      <c r="AG705" t="s">
        <v>77</v>
      </c>
    </row>
    <row r="706" spans="1:33" x14ac:dyDescent="0.25">
      <c r="A706" t="str">
        <f>"1144262908"</f>
        <v>1144262908</v>
      </c>
      <c r="B706" t="str">
        <f>"00475301"</f>
        <v>00475301</v>
      </c>
      <c r="C706" t="s">
        <v>6413</v>
      </c>
      <c r="D706" t="s">
        <v>6414</v>
      </c>
      <c r="E706" t="s">
        <v>6415</v>
      </c>
      <c r="G706" t="s">
        <v>4768</v>
      </c>
      <c r="H706" t="s">
        <v>4769</v>
      </c>
      <c r="J706" t="s">
        <v>4770</v>
      </c>
      <c r="L706" t="s">
        <v>97</v>
      </c>
      <c r="M706" t="s">
        <v>81</v>
      </c>
      <c r="R706" t="s">
        <v>6077</v>
      </c>
      <c r="W706" t="s">
        <v>6416</v>
      </c>
      <c r="X706" t="s">
        <v>5040</v>
      </c>
      <c r="Y706" t="s">
        <v>317</v>
      </c>
      <c r="Z706" t="s">
        <v>73</v>
      </c>
      <c r="AA706" t="str">
        <f>"14218-1658"</f>
        <v>14218-1658</v>
      </c>
      <c r="AB706" t="s">
        <v>86</v>
      </c>
      <c r="AC706" t="s">
        <v>75</v>
      </c>
      <c r="AD706" t="s">
        <v>72</v>
      </c>
      <c r="AE706" t="s">
        <v>76</v>
      </c>
      <c r="AF706" t="s">
        <v>4078</v>
      </c>
      <c r="AG706" t="s">
        <v>77</v>
      </c>
    </row>
    <row r="707" spans="1:33" x14ac:dyDescent="0.25">
      <c r="A707" t="str">
        <f>"1710987128"</f>
        <v>1710987128</v>
      </c>
      <c r="B707" t="str">
        <f>"01651981"</f>
        <v>01651981</v>
      </c>
      <c r="C707" t="s">
        <v>6417</v>
      </c>
      <c r="D707" t="s">
        <v>1669</v>
      </c>
      <c r="E707" t="s">
        <v>1670</v>
      </c>
      <c r="G707" t="s">
        <v>6417</v>
      </c>
      <c r="H707" t="s">
        <v>6418</v>
      </c>
      <c r="J707" t="s">
        <v>6419</v>
      </c>
      <c r="L707" t="s">
        <v>79</v>
      </c>
      <c r="M707" t="s">
        <v>72</v>
      </c>
      <c r="R707" t="s">
        <v>1671</v>
      </c>
      <c r="W707" t="s">
        <v>1670</v>
      </c>
      <c r="X707" t="s">
        <v>1194</v>
      </c>
      <c r="Y707" t="s">
        <v>237</v>
      </c>
      <c r="Z707" t="s">
        <v>73</v>
      </c>
      <c r="AA707" t="str">
        <f>"14224-2646"</f>
        <v>14224-2646</v>
      </c>
      <c r="AB707" t="s">
        <v>74</v>
      </c>
      <c r="AC707" t="s">
        <v>75</v>
      </c>
      <c r="AD707" t="s">
        <v>72</v>
      </c>
      <c r="AE707" t="s">
        <v>76</v>
      </c>
      <c r="AF707" t="s">
        <v>3974</v>
      </c>
      <c r="AG707" t="s">
        <v>77</v>
      </c>
    </row>
    <row r="708" spans="1:33" x14ac:dyDescent="0.25">
      <c r="A708" t="str">
        <f>"1518933498"</f>
        <v>1518933498</v>
      </c>
      <c r="B708" t="str">
        <f>"02107651"</f>
        <v>02107651</v>
      </c>
      <c r="C708" t="s">
        <v>6420</v>
      </c>
      <c r="D708" t="s">
        <v>6421</v>
      </c>
      <c r="E708" t="s">
        <v>6422</v>
      </c>
      <c r="G708" t="s">
        <v>6120</v>
      </c>
      <c r="H708" t="s">
        <v>6121</v>
      </c>
      <c r="J708" t="s">
        <v>6122</v>
      </c>
      <c r="L708" t="s">
        <v>79</v>
      </c>
      <c r="M708" t="s">
        <v>72</v>
      </c>
      <c r="R708" t="s">
        <v>6423</v>
      </c>
      <c r="W708" t="s">
        <v>6424</v>
      </c>
      <c r="X708" t="s">
        <v>1447</v>
      </c>
      <c r="Y708" t="s">
        <v>117</v>
      </c>
      <c r="Z708" t="s">
        <v>73</v>
      </c>
      <c r="AA708" t="str">
        <f>"14209-1120"</f>
        <v>14209-1120</v>
      </c>
      <c r="AB708" t="s">
        <v>74</v>
      </c>
      <c r="AC708" t="s">
        <v>75</v>
      </c>
      <c r="AD708" t="s">
        <v>72</v>
      </c>
      <c r="AE708" t="s">
        <v>76</v>
      </c>
      <c r="AF708" t="s">
        <v>3974</v>
      </c>
      <c r="AG708" t="s">
        <v>77</v>
      </c>
    </row>
    <row r="709" spans="1:33" x14ac:dyDescent="0.25">
      <c r="A709" t="str">
        <f>"1841231511"</f>
        <v>1841231511</v>
      </c>
      <c r="B709" t="str">
        <f>"01564438"</f>
        <v>01564438</v>
      </c>
      <c r="C709" t="s">
        <v>6425</v>
      </c>
      <c r="D709" t="s">
        <v>3788</v>
      </c>
      <c r="E709" t="s">
        <v>3789</v>
      </c>
      <c r="G709" t="s">
        <v>6426</v>
      </c>
      <c r="H709" t="s">
        <v>766</v>
      </c>
      <c r="J709" t="s">
        <v>6427</v>
      </c>
      <c r="L709" t="s">
        <v>71</v>
      </c>
      <c r="M709" t="s">
        <v>72</v>
      </c>
      <c r="R709" t="s">
        <v>3790</v>
      </c>
      <c r="W709" t="s">
        <v>3791</v>
      </c>
      <c r="X709" t="s">
        <v>219</v>
      </c>
      <c r="Y709" t="s">
        <v>117</v>
      </c>
      <c r="Z709" t="s">
        <v>73</v>
      </c>
      <c r="AA709" t="str">
        <f>"14203-1149"</f>
        <v>14203-1149</v>
      </c>
      <c r="AB709" t="s">
        <v>74</v>
      </c>
      <c r="AC709" t="s">
        <v>75</v>
      </c>
      <c r="AD709" t="s">
        <v>72</v>
      </c>
      <c r="AE709" t="s">
        <v>76</v>
      </c>
      <c r="AF709" t="s">
        <v>3974</v>
      </c>
      <c r="AG709" t="s">
        <v>77</v>
      </c>
    </row>
    <row r="710" spans="1:33" x14ac:dyDescent="0.25">
      <c r="A710" t="str">
        <f>"1720046253"</f>
        <v>1720046253</v>
      </c>
      <c r="B710" t="str">
        <f>"00762881"</f>
        <v>00762881</v>
      </c>
      <c r="C710" t="s">
        <v>6428</v>
      </c>
      <c r="D710" t="s">
        <v>3497</v>
      </c>
      <c r="E710" t="s">
        <v>3498</v>
      </c>
      <c r="G710" t="s">
        <v>6429</v>
      </c>
      <c r="H710" t="s">
        <v>6430</v>
      </c>
      <c r="J710" t="s">
        <v>6431</v>
      </c>
      <c r="L710" t="s">
        <v>79</v>
      </c>
      <c r="M710" t="s">
        <v>72</v>
      </c>
      <c r="R710" t="s">
        <v>3499</v>
      </c>
      <c r="W710" t="s">
        <v>3498</v>
      </c>
      <c r="X710" t="s">
        <v>2755</v>
      </c>
      <c r="Y710" t="s">
        <v>117</v>
      </c>
      <c r="Z710" t="s">
        <v>73</v>
      </c>
      <c r="AA710" t="str">
        <f>"14201-1108"</f>
        <v>14201-1108</v>
      </c>
      <c r="AB710" t="s">
        <v>113</v>
      </c>
      <c r="AC710" t="s">
        <v>75</v>
      </c>
      <c r="AD710" t="s">
        <v>72</v>
      </c>
      <c r="AE710" t="s">
        <v>76</v>
      </c>
      <c r="AF710" t="s">
        <v>3974</v>
      </c>
      <c r="AG710" t="s">
        <v>77</v>
      </c>
    </row>
    <row r="711" spans="1:33" x14ac:dyDescent="0.25">
      <c r="A711" t="str">
        <f>"1437102712"</f>
        <v>1437102712</v>
      </c>
      <c r="B711" t="str">
        <f>"02408271"</f>
        <v>02408271</v>
      </c>
      <c r="C711" t="s">
        <v>6432</v>
      </c>
      <c r="D711" t="s">
        <v>1484</v>
      </c>
      <c r="E711" t="s">
        <v>1485</v>
      </c>
      <c r="G711" t="s">
        <v>3969</v>
      </c>
      <c r="H711" t="s">
        <v>3970</v>
      </c>
      <c r="J711" t="s">
        <v>3971</v>
      </c>
      <c r="L711" t="s">
        <v>79</v>
      </c>
      <c r="M711" t="s">
        <v>72</v>
      </c>
      <c r="R711" t="s">
        <v>1486</v>
      </c>
      <c r="W711" t="s">
        <v>1485</v>
      </c>
      <c r="X711" t="s">
        <v>234</v>
      </c>
      <c r="Y711" t="s">
        <v>117</v>
      </c>
      <c r="Z711" t="s">
        <v>73</v>
      </c>
      <c r="AA711" t="str">
        <f>"14220-2039"</f>
        <v>14220-2039</v>
      </c>
      <c r="AB711" t="s">
        <v>74</v>
      </c>
      <c r="AC711" t="s">
        <v>75</v>
      </c>
      <c r="AD711" t="s">
        <v>72</v>
      </c>
      <c r="AE711" t="s">
        <v>76</v>
      </c>
      <c r="AF711" t="s">
        <v>3974</v>
      </c>
      <c r="AG711" t="s">
        <v>77</v>
      </c>
    </row>
    <row r="712" spans="1:33" x14ac:dyDescent="0.25">
      <c r="A712" t="str">
        <f>"1447283288"</f>
        <v>1447283288</v>
      </c>
      <c r="B712" t="str">
        <f>"02771882"</f>
        <v>02771882</v>
      </c>
      <c r="C712" t="s">
        <v>6433</v>
      </c>
      <c r="D712" t="s">
        <v>595</v>
      </c>
      <c r="E712" t="s">
        <v>596</v>
      </c>
      <c r="G712" t="s">
        <v>4017</v>
      </c>
      <c r="H712" t="s">
        <v>597</v>
      </c>
      <c r="J712" t="s">
        <v>4018</v>
      </c>
      <c r="L712" t="s">
        <v>79</v>
      </c>
      <c r="M712" t="s">
        <v>72</v>
      </c>
      <c r="R712" t="s">
        <v>598</v>
      </c>
      <c r="W712" t="s">
        <v>596</v>
      </c>
      <c r="X712" t="s">
        <v>295</v>
      </c>
      <c r="Y712" t="s">
        <v>117</v>
      </c>
      <c r="Z712" t="s">
        <v>73</v>
      </c>
      <c r="AA712" t="str">
        <f>"14215-3021"</f>
        <v>14215-3021</v>
      </c>
      <c r="AB712" t="s">
        <v>74</v>
      </c>
      <c r="AC712" t="s">
        <v>75</v>
      </c>
      <c r="AD712" t="s">
        <v>72</v>
      </c>
      <c r="AE712" t="s">
        <v>76</v>
      </c>
      <c r="AF712" t="s">
        <v>3974</v>
      </c>
      <c r="AG712" t="s">
        <v>77</v>
      </c>
    </row>
    <row r="713" spans="1:33" x14ac:dyDescent="0.25">
      <c r="A713" t="str">
        <f>"1710908348"</f>
        <v>1710908348</v>
      </c>
      <c r="B713" t="str">
        <f>"01034413"</f>
        <v>01034413</v>
      </c>
      <c r="C713" t="s">
        <v>6434</v>
      </c>
      <c r="D713" t="s">
        <v>6435</v>
      </c>
      <c r="E713" t="s">
        <v>6436</v>
      </c>
      <c r="G713" t="s">
        <v>5441</v>
      </c>
      <c r="H713" t="s">
        <v>2776</v>
      </c>
      <c r="J713" t="s">
        <v>5442</v>
      </c>
      <c r="L713" t="s">
        <v>79</v>
      </c>
      <c r="M713" t="s">
        <v>72</v>
      </c>
      <c r="R713" t="s">
        <v>6437</v>
      </c>
      <c r="W713" t="s">
        <v>6438</v>
      </c>
      <c r="X713" t="s">
        <v>5444</v>
      </c>
      <c r="Y713" t="s">
        <v>302</v>
      </c>
      <c r="Z713" t="s">
        <v>73</v>
      </c>
      <c r="AA713" t="str">
        <f>"14031-2048"</f>
        <v>14031-2048</v>
      </c>
      <c r="AB713" t="s">
        <v>113</v>
      </c>
      <c r="AC713" t="s">
        <v>75</v>
      </c>
      <c r="AD713" t="s">
        <v>72</v>
      </c>
      <c r="AE713" t="s">
        <v>76</v>
      </c>
      <c r="AF713" t="s">
        <v>3974</v>
      </c>
      <c r="AG713" t="s">
        <v>77</v>
      </c>
    </row>
    <row r="714" spans="1:33" x14ac:dyDescent="0.25">
      <c r="A714" t="str">
        <f>"1760431068"</f>
        <v>1760431068</v>
      </c>
      <c r="B714" t="str">
        <f>"01039101"</f>
        <v>01039101</v>
      </c>
      <c r="C714" t="s">
        <v>6439</v>
      </c>
      <c r="D714" t="s">
        <v>6440</v>
      </c>
      <c r="E714" t="s">
        <v>6441</v>
      </c>
      <c r="G714" t="s">
        <v>6439</v>
      </c>
      <c r="H714" t="s">
        <v>6442</v>
      </c>
      <c r="J714" t="s">
        <v>6443</v>
      </c>
      <c r="L714" t="s">
        <v>79</v>
      </c>
      <c r="M714" t="s">
        <v>72</v>
      </c>
      <c r="R714" t="s">
        <v>6444</v>
      </c>
      <c r="W714" t="s">
        <v>6445</v>
      </c>
      <c r="X714" t="s">
        <v>295</v>
      </c>
      <c r="Y714" t="s">
        <v>117</v>
      </c>
      <c r="Z714" t="s">
        <v>73</v>
      </c>
      <c r="AA714" t="str">
        <f>"14215-3021"</f>
        <v>14215-3021</v>
      </c>
      <c r="AB714" t="s">
        <v>74</v>
      </c>
      <c r="AC714" t="s">
        <v>75</v>
      </c>
      <c r="AD714" t="s">
        <v>72</v>
      </c>
      <c r="AE714" t="s">
        <v>76</v>
      </c>
      <c r="AF714" t="s">
        <v>3974</v>
      </c>
      <c r="AG714" t="s">
        <v>77</v>
      </c>
    </row>
    <row r="715" spans="1:33" x14ac:dyDescent="0.25">
      <c r="A715" t="str">
        <f>"1700957727"</f>
        <v>1700957727</v>
      </c>
      <c r="B715" t="str">
        <f>"00643150"</f>
        <v>00643150</v>
      </c>
      <c r="C715" t="s">
        <v>6446</v>
      </c>
      <c r="D715" t="s">
        <v>1871</v>
      </c>
      <c r="E715" t="s">
        <v>1872</v>
      </c>
      <c r="G715" t="s">
        <v>6447</v>
      </c>
      <c r="H715" t="s">
        <v>1873</v>
      </c>
      <c r="J715" t="s">
        <v>6448</v>
      </c>
      <c r="L715" t="s">
        <v>79</v>
      </c>
      <c r="M715" t="s">
        <v>72</v>
      </c>
      <c r="R715" t="s">
        <v>1874</v>
      </c>
      <c r="W715" t="s">
        <v>1872</v>
      </c>
      <c r="X715" t="s">
        <v>1875</v>
      </c>
      <c r="Y715" t="s">
        <v>237</v>
      </c>
      <c r="Z715" t="s">
        <v>73</v>
      </c>
      <c r="AA715" t="str">
        <f>"14224-1950"</f>
        <v>14224-1950</v>
      </c>
      <c r="AB715" t="s">
        <v>74</v>
      </c>
      <c r="AC715" t="s">
        <v>75</v>
      </c>
      <c r="AD715" t="s">
        <v>72</v>
      </c>
      <c r="AE715" t="s">
        <v>76</v>
      </c>
      <c r="AF715" t="s">
        <v>3974</v>
      </c>
      <c r="AG715" t="s">
        <v>77</v>
      </c>
    </row>
    <row r="716" spans="1:33" x14ac:dyDescent="0.25">
      <c r="A716" t="str">
        <f>"1760401236"</f>
        <v>1760401236</v>
      </c>
      <c r="B716" t="str">
        <f>"00679727"</f>
        <v>00679727</v>
      </c>
      <c r="C716" t="s">
        <v>6449</v>
      </c>
      <c r="D716" t="s">
        <v>6450</v>
      </c>
      <c r="E716" t="s">
        <v>6451</v>
      </c>
      <c r="G716" t="s">
        <v>6449</v>
      </c>
      <c r="H716" t="s">
        <v>6452</v>
      </c>
      <c r="J716" t="s">
        <v>6453</v>
      </c>
      <c r="L716" t="s">
        <v>71</v>
      </c>
      <c r="M716" t="s">
        <v>72</v>
      </c>
      <c r="R716" t="s">
        <v>6454</v>
      </c>
      <c r="W716" t="s">
        <v>6451</v>
      </c>
      <c r="Y716" t="s">
        <v>117</v>
      </c>
      <c r="Z716" t="s">
        <v>73</v>
      </c>
      <c r="AA716" t="str">
        <f>"14220-2095"</f>
        <v>14220-2095</v>
      </c>
      <c r="AB716" t="s">
        <v>74</v>
      </c>
      <c r="AC716" t="s">
        <v>75</v>
      </c>
      <c r="AD716" t="s">
        <v>72</v>
      </c>
      <c r="AE716" t="s">
        <v>76</v>
      </c>
      <c r="AF716" t="s">
        <v>3974</v>
      </c>
      <c r="AG716" t="s">
        <v>77</v>
      </c>
    </row>
    <row r="717" spans="1:33" x14ac:dyDescent="0.25">
      <c r="A717" t="str">
        <f>"1164644183"</f>
        <v>1164644183</v>
      </c>
      <c r="B717" t="str">
        <f>"03110469"</f>
        <v>03110469</v>
      </c>
      <c r="C717" t="s">
        <v>6455</v>
      </c>
      <c r="D717" t="s">
        <v>2836</v>
      </c>
      <c r="E717" t="s">
        <v>2837</v>
      </c>
      <c r="G717" t="s">
        <v>4974</v>
      </c>
      <c r="H717" t="s">
        <v>949</v>
      </c>
      <c r="J717" t="s">
        <v>4975</v>
      </c>
      <c r="L717" t="s">
        <v>79</v>
      </c>
      <c r="M717" t="s">
        <v>72</v>
      </c>
      <c r="R717" t="s">
        <v>2838</v>
      </c>
      <c r="W717" t="s">
        <v>2839</v>
      </c>
      <c r="X717" t="s">
        <v>2840</v>
      </c>
      <c r="Y717" t="s">
        <v>326</v>
      </c>
      <c r="Z717" t="s">
        <v>73</v>
      </c>
      <c r="AA717" t="str">
        <f>"14127-1577"</f>
        <v>14127-1577</v>
      </c>
      <c r="AB717" t="s">
        <v>74</v>
      </c>
      <c r="AC717" t="s">
        <v>75</v>
      </c>
      <c r="AD717" t="s">
        <v>72</v>
      </c>
      <c r="AE717" t="s">
        <v>76</v>
      </c>
      <c r="AF717" t="s">
        <v>3974</v>
      </c>
      <c r="AG717" t="s">
        <v>77</v>
      </c>
    </row>
    <row r="718" spans="1:33" x14ac:dyDescent="0.25">
      <c r="A718" t="str">
        <f>"1992782601"</f>
        <v>1992782601</v>
      </c>
      <c r="B718" t="str">
        <f>"00839318"</f>
        <v>00839318</v>
      </c>
      <c r="C718" t="s">
        <v>6456</v>
      </c>
      <c r="D718" t="s">
        <v>3492</v>
      </c>
      <c r="E718" t="s">
        <v>3493</v>
      </c>
      <c r="G718" t="s">
        <v>6457</v>
      </c>
      <c r="H718" t="s">
        <v>3494</v>
      </c>
      <c r="J718" t="s">
        <v>6458</v>
      </c>
      <c r="L718" t="s">
        <v>80</v>
      </c>
      <c r="M718" t="s">
        <v>81</v>
      </c>
      <c r="R718" t="s">
        <v>3495</v>
      </c>
      <c r="W718" t="s">
        <v>3496</v>
      </c>
      <c r="X718" t="s">
        <v>1146</v>
      </c>
      <c r="Y718" t="s">
        <v>436</v>
      </c>
      <c r="Z718" t="s">
        <v>73</v>
      </c>
      <c r="AA718" t="str">
        <f>"14217-1390"</f>
        <v>14217-1390</v>
      </c>
      <c r="AB718" t="s">
        <v>74</v>
      </c>
      <c r="AC718" t="s">
        <v>75</v>
      </c>
      <c r="AD718" t="s">
        <v>72</v>
      </c>
      <c r="AE718" t="s">
        <v>76</v>
      </c>
      <c r="AG718" t="s">
        <v>77</v>
      </c>
    </row>
    <row r="719" spans="1:33" x14ac:dyDescent="0.25">
      <c r="A719" t="str">
        <f>"1760471072"</f>
        <v>1760471072</v>
      </c>
      <c r="B719" t="str">
        <f>"01885116"</f>
        <v>01885116</v>
      </c>
      <c r="C719" t="s">
        <v>6459</v>
      </c>
      <c r="D719" t="s">
        <v>2495</v>
      </c>
      <c r="E719" t="s">
        <v>2496</v>
      </c>
      <c r="G719" t="s">
        <v>6459</v>
      </c>
      <c r="H719" t="s">
        <v>6460</v>
      </c>
      <c r="J719" t="s">
        <v>6461</v>
      </c>
      <c r="L719" t="s">
        <v>79</v>
      </c>
      <c r="M719" t="s">
        <v>72</v>
      </c>
      <c r="R719" t="s">
        <v>2497</v>
      </c>
      <c r="W719" t="s">
        <v>2496</v>
      </c>
      <c r="X719" t="s">
        <v>301</v>
      </c>
      <c r="Y719" t="s">
        <v>117</v>
      </c>
      <c r="Z719" t="s">
        <v>73</v>
      </c>
      <c r="AA719" t="str">
        <f>"14214-2648"</f>
        <v>14214-2648</v>
      </c>
      <c r="AB719" t="s">
        <v>74</v>
      </c>
      <c r="AC719" t="s">
        <v>75</v>
      </c>
      <c r="AD719" t="s">
        <v>72</v>
      </c>
      <c r="AE719" t="s">
        <v>76</v>
      </c>
      <c r="AF719" t="s">
        <v>3961</v>
      </c>
      <c r="AG719" t="s">
        <v>77</v>
      </c>
    </row>
    <row r="720" spans="1:33" x14ac:dyDescent="0.25">
      <c r="A720" t="str">
        <f>"1083648646"</f>
        <v>1083648646</v>
      </c>
      <c r="B720" t="str">
        <f>"02776790"</f>
        <v>02776790</v>
      </c>
      <c r="C720" t="s">
        <v>6462</v>
      </c>
      <c r="D720" t="s">
        <v>2370</v>
      </c>
      <c r="E720" t="s">
        <v>2371</v>
      </c>
      <c r="G720" t="s">
        <v>4694</v>
      </c>
      <c r="H720" t="s">
        <v>729</v>
      </c>
      <c r="J720" t="s">
        <v>4695</v>
      </c>
      <c r="L720" t="s">
        <v>79</v>
      </c>
      <c r="M720" t="s">
        <v>72</v>
      </c>
      <c r="R720" t="s">
        <v>2372</v>
      </c>
      <c r="W720" t="s">
        <v>2373</v>
      </c>
      <c r="X720" t="s">
        <v>1194</v>
      </c>
      <c r="Y720" t="s">
        <v>237</v>
      </c>
      <c r="Z720" t="s">
        <v>73</v>
      </c>
      <c r="AA720" t="str">
        <f>"14224-2646"</f>
        <v>14224-2646</v>
      </c>
      <c r="AB720" t="s">
        <v>74</v>
      </c>
      <c r="AC720" t="s">
        <v>75</v>
      </c>
      <c r="AD720" t="s">
        <v>72</v>
      </c>
      <c r="AE720" t="s">
        <v>76</v>
      </c>
      <c r="AF720" t="s">
        <v>3974</v>
      </c>
      <c r="AG720" t="s">
        <v>77</v>
      </c>
    </row>
    <row r="721" spans="1:33" x14ac:dyDescent="0.25">
      <c r="A721" t="str">
        <f>"1699723353"</f>
        <v>1699723353</v>
      </c>
      <c r="B721" t="str">
        <f>"02149911"</f>
        <v>02149911</v>
      </c>
      <c r="C721" t="s">
        <v>6463</v>
      </c>
      <c r="D721" t="s">
        <v>6464</v>
      </c>
      <c r="E721" t="s">
        <v>6465</v>
      </c>
      <c r="G721" t="s">
        <v>6463</v>
      </c>
      <c r="H721" t="s">
        <v>6466</v>
      </c>
      <c r="J721" t="s">
        <v>6467</v>
      </c>
      <c r="L721" t="s">
        <v>80</v>
      </c>
      <c r="M721" t="s">
        <v>72</v>
      </c>
      <c r="R721" t="s">
        <v>6468</v>
      </c>
      <c r="W721" t="s">
        <v>6465</v>
      </c>
      <c r="X721" t="s">
        <v>6469</v>
      </c>
      <c r="Y721" t="s">
        <v>117</v>
      </c>
      <c r="Z721" t="s">
        <v>73</v>
      </c>
      <c r="AA721" t="str">
        <f>"14217-1038"</f>
        <v>14217-1038</v>
      </c>
      <c r="AB721" t="s">
        <v>74</v>
      </c>
      <c r="AC721" t="s">
        <v>75</v>
      </c>
      <c r="AD721" t="s">
        <v>72</v>
      </c>
      <c r="AE721" t="s">
        <v>76</v>
      </c>
      <c r="AG721" t="s">
        <v>77</v>
      </c>
    </row>
    <row r="722" spans="1:33" x14ac:dyDescent="0.25">
      <c r="A722" t="str">
        <f>"1790728673"</f>
        <v>1790728673</v>
      </c>
      <c r="B722" t="str">
        <f>"01661343"</f>
        <v>01661343</v>
      </c>
      <c r="C722" t="s">
        <v>6470</v>
      </c>
      <c r="D722" t="s">
        <v>3503</v>
      </c>
      <c r="E722" t="s">
        <v>3504</v>
      </c>
      <c r="G722" t="s">
        <v>3969</v>
      </c>
      <c r="H722" t="s">
        <v>3970</v>
      </c>
      <c r="J722" t="s">
        <v>3971</v>
      </c>
      <c r="L722" t="s">
        <v>79</v>
      </c>
      <c r="M722" t="s">
        <v>72</v>
      </c>
      <c r="R722" t="s">
        <v>3505</v>
      </c>
      <c r="W722" t="s">
        <v>3504</v>
      </c>
      <c r="X722" t="s">
        <v>169</v>
      </c>
      <c r="Y722" t="s">
        <v>117</v>
      </c>
      <c r="Z722" t="s">
        <v>73</v>
      </c>
      <c r="AA722" t="str">
        <f>"14209-1120"</f>
        <v>14209-1120</v>
      </c>
      <c r="AB722" t="s">
        <v>74</v>
      </c>
      <c r="AC722" t="s">
        <v>75</v>
      </c>
      <c r="AD722" t="s">
        <v>72</v>
      </c>
      <c r="AE722" t="s">
        <v>76</v>
      </c>
      <c r="AF722" t="s">
        <v>3974</v>
      </c>
      <c r="AG722" t="s">
        <v>77</v>
      </c>
    </row>
    <row r="723" spans="1:33" x14ac:dyDescent="0.25">
      <c r="A723" t="str">
        <f>"1851326177"</f>
        <v>1851326177</v>
      </c>
      <c r="B723" t="str">
        <f>"01164525"</f>
        <v>01164525</v>
      </c>
      <c r="C723" t="s">
        <v>6471</v>
      </c>
      <c r="D723" t="s">
        <v>6472</v>
      </c>
      <c r="E723" t="s">
        <v>6473</v>
      </c>
      <c r="G723" t="s">
        <v>4995</v>
      </c>
      <c r="H723" t="s">
        <v>743</v>
      </c>
      <c r="J723" t="s">
        <v>4996</v>
      </c>
      <c r="L723" t="s">
        <v>79</v>
      </c>
      <c r="M723" t="s">
        <v>72</v>
      </c>
      <c r="R723" t="s">
        <v>6474</v>
      </c>
      <c r="W723" t="s">
        <v>6475</v>
      </c>
      <c r="X723" t="s">
        <v>6476</v>
      </c>
      <c r="Y723" t="s">
        <v>326</v>
      </c>
      <c r="Z723" t="s">
        <v>73</v>
      </c>
      <c r="AA723" t="str">
        <f>"14127-1239"</f>
        <v>14127-1239</v>
      </c>
      <c r="AB723" t="s">
        <v>74</v>
      </c>
      <c r="AC723" t="s">
        <v>75</v>
      </c>
      <c r="AD723" t="s">
        <v>72</v>
      </c>
      <c r="AE723" t="s">
        <v>76</v>
      </c>
      <c r="AF723" t="s">
        <v>3974</v>
      </c>
      <c r="AG723" t="s">
        <v>77</v>
      </c>
    </row>
    <row r="724" spans="1:33" x14ac:dyDescent="0.25">
      <c r="A724" t="str">
        <f>"1144258641"</f>
        <v>1144258641</v>
      </c>
      <c r="B724" t="str">
        <f>"01149595"</f>
        <v>01149595</v>
      </c>
      <c r="C724" t="s">
        <v>6477</v>
      </c>
      <c r="D724" t="s">
        <v>2845</v>
      </c>
      <c r="E724" t="s">
        <v>2846</v>
      </c>
      <c r="G724" t="s">
        <v>6478</v>
      </c>
      <c r="H724" t="s">
        <v>1695</v>
      </c>
      <c r="J724" t="s">
        <v>6479</v>
      </c>
      <c r="L724" t="s">
        <v>79</v>
      </c>
      <c r="M724" t="s">
        <v>72</v>
      </c>
      <c r="R724" t="s">
        <v>2847</v>
      </c>
      <c r="W724" t="s">
        <v>2846</v>
      </c>
      <c r="X724" t="s">
        <v>669</v>
      </c>
      <c r="Y724" t="s">
        <v>117</v>
      </c>
      <c r="Z724" t="s">
        <v>73</v>
      </c>
      <c r="AA724" t="str">
        <f>"14209-1635"</f>
        <v>14209-1635</v>
      </c>
      <c r="AB724" t="s">
        <v>74</v>
      </c>
      <c r="AC724" t="s">
        <v>75</v>
      </c>
      <c r="AD724" t="s">
        <v>72</v>
      </c>
      <c r="AE724" t="s">
        <v>76</v>
      </c>
      <c r="AF724" t="s">
        <v>3974</v>
      </c>
      <c r="AG724" t="s">
        <v>77</v>
      </c>
    </row>
    <row r="725" spans="1:33" x14ac:dyDescent="0.25">
      <c r="A725" t="str">
        <f>"1871598326"</f>
        <v>1871598326</v>
      </c>
      <c r="B725" t="str">
        <f>"00669750"</f>
        <v>00669750</v>
      </c>
      <c r="C725" t="s">
        <v>6480</v>
      </c>
      <c r="D725" t="s">
        <v>6481</v>
      </c>
      <c r="E725" t="s">
        <v>6482</v>
      </c>
      <c r="G725" t="s">
        <v>6483</v>
      </c>
      <c r="H725" t="s">
        <v>6484</v>
      </c>
      <c r="J725" t="s">
        <v>6485</v>
      </c>
      <c r="L725" t="s">
        <v>79</v>
      </c>
      <c r="M725" t="s">
        <v>72</v>
      </c>
      <c r="R725" t="s">
        <v>6486</v>
      </c>
      <c r="W725" t="s">
        <v>6482</v>
      </c>
      <c r="X725" t="s">
        <v>6487</v>
      </c>
      <c r="Y725" t="s">
        <v>117</v>
      </c>
      <c r="Z725" t="s">
        <v>73</v>
      </c>
      <c r="AA725" t="str">
        <f>"14210-2517"</f>
        <v>14210-2517</v>
      </c>
      <c r="AB725" t="s">
        <v>113</v>
      </c>
      <c r="AC725" t="s">
        <v>75</v>
      </c>
      <c r="AD725" t="s">
        <v>72</v>
      </c>
      <c r="AE725" t="s">
        <v>76</v>
      </c>
      <c r="AF725" t="s">
        <v>3974</v>
      </c>
      <c r="AG725" t="s">
        <v>77</v>
      </c>
    </row>
    <row r="726" spans="1:33" x14ac:dyDescent="0.25">
      <c r="A726" t="str">
        <f>"1396832762"</f>
        <v>1396832762</v>
      </c>
      <c r="C726" t="s">
        <v>6488</v>
      </c>
      <c r="G726" t="s">
        <v>396</v>
      </c>
      <c r="H726" t="s">
        <v>397</v>
      </c>
      <c r="J726" t="s">
        <v>398</v>
      </c>
      <c r="K726" t="s">
        <v>89</v>
      </c>
      <c r="L726" t="s">
        <v>71</v>
      </c>
      <c r="M726" t="s">
        <v>72</v>
      </c>
      <c r="R726" t="s">
        <v>1443</v>
      </c>
      <c r="S726" t="s">
        <v>682</v>
      </c>
      <c r="T726" t="s">
        <v>117</v>
      </c>
      <c r="U726" t="s">
        <v>73</v>
      </c>
      <c r="V726" t="str">
        <f>"142091912"</f>
        <v>142091912</v>
      </c>
      <c r="AC726" t="s">
        <v>75</v>
      </c>
      <c r="AD726" t="s">
        <v>72</v>
      </c>
      <c r="AE726" t="s">
        <v>93</v>
      </c>
      <c r="AF726" t="s">
        <v>4043</v>
      </c>
      <c r="AG726" t="s">
        <v>77</v>
      </c>
    </row>
    <row r="727" spans="1:33" x14ac:dyDescent="0.25">
      <c r="A727" t="str">
        <f>"1568891265"</f>
        <v>1568891265</v>
      </c>
      <c r="B727" t="str">
        <f>"03707559"</f>
        <v>03707559</v>
      </c>
      <c r="C727" t="s">
        <v>6489</v>
      </c>
      <c r="D727" t="s">
        <v>1088</v>
      </c>
      <c r="E727" t="s">
        <v>1089</v>
      </c>
      <c r="G727" t="s">
        <v>396</v>
      </c>
      <c r="H727" t="s">
        <v>397</v>
      </c>
      <c r="J727" t="s">
        <v>398</v>
      </c>
      <c r="L727" t="s">
        <v>71</v>
      </c>
      <c r="M727" t="s">
        <v>72</v>
      </c>
      <c r="R727" t="s">
        <v>1090</v>
      </c>
      <c r="W727" t="s">
        <v>1091</v>
      </c>
      <c r="X727" t="s">
        <v>1092</v>
      </c>
      <c r="Y727" t="s">
        <v>117</v>
      </c>
      <c r="Z727" t="s">
        <v>73</v>
      </c>
      <c r="AA727" t="str">
        <f>"14209-2111"</f>
        <v>14209-2111</v>
      </c>
      <c r="AB727" t="s">
        <v>105</v>
      </c>
      <c r="AC727" t="s">
        <v>75</v>
      </c>
      <c r="AD727" t="s">
        <v>72</v>
      </c>
      <c r="AE727" t="s">
        <v>76</v>
      </c>
      <c r="AF727" t="s">
        <v>4043</v>
      </c>
      <c r="AG727" t="s">
        <v>77</v>
      </c>
    </row>
    <row r="728" spans="1:33" x14ac:dyDescent="0.25">
      <c r="A728" t="str">
        <f>"1598790255"</f>
        <v>1598790255</v>
      </c>
      <c r="B728" t="str">
        <f>"02563922"</f>
        <v>02563922</v>
      </c>
      <c r="C728" t="s">
        <v>6490</v>
      </c>
      <c r="D728" t="s">
        <v>736</v>
      </c>
      <c r="E728" t="s">
        <v>737</v>
      </c>
      <c r="G728" t="s">
        <v>396</v>
      </c>
      <c r="H728" t="s">
        <v>397</v>
      </c>
      <c r="J728" t="s">
        <v>398</v>
      </c>
      <c r="L728" t="s">
        <v>71</v>
      </c>
      <c r="M728" t="s">
        <v>81</v>
      </c>
      <c r="R728" t="s">
        <v>738</v>
      </c>
      <c r="W728" t="s">
        <v>739</v>
      </c>
      <c r="X728" t="s">
        <v>740</v>
      </c>
      <c r="Y728" t="s">
        <v>117</v>
      </c>
      <c r="Z728" t="s">
        <v>73</v>
      </c>
      <c r="AA728" t="str">
        <f>"14202-1309"</f>
        <v>14202-1309</v>
      </c>
      <c r="AB728" t="s">
        <v>74</v>
      </c>
      <c r="AC728" t="s">
        <v>75</v>
      </c>
      <c r="AD728" t="s">
        <v>72</v>
      </c>
      <c r="AE728" t="s">
        <v>76</v>
      </c>
      <c r="AF728" t="s">
        <v>4043</v>
      </c>
      <c r="AG728" t="s">
        <v>77</v>
      </c>
    </row>
    <row r="729" spans="1:33" x14ac:dyDescent="0.25">
      <c r="A729" t="str">
        <f>"1144273004"</f>
        <v>1144273004</v>
      </c>
      <c r="B729" t="str">
        <f>"01343508"</f>
        <v>01343508</v>
      </c>
      <c r="C729" t="s">
        <v>6491</v>
      </c>
      <c r="D729" t="s">
        <v>6492</v>
      </c>
      <c r="E729" t="s">
        <v>6493</v>
      </c>
      <c r="G729" t="s">
        <v>5959</v>
      </c>
      <c r="H729" t="s">
        <v>5960</v>
      </c>
      <c r="J729" t="s">
        <v>5961</v>
      </c>
      <c r="L729" t="s">
        <v>80</v>
      </c>
      <c r="M729" t="s">
        <v>72</v>
      </c>
      <c r="R729" t="s">
        <v>6494</v>
      </c>
      <c r="W729" t="s">
        <v>6495</v>
      </c>
      <c r="X729" t="s">
        <v>3110</v>
      </c>
      <c r="Y729" t="s">
        <v>221</v>
      </c>
      <c r="Z729" t="s">
        <v>73</v>
      </c>
      <c r="AA729" t="str">
        <f>"14221-5967"</f>
        <v>14221-5967</v>
      </c>
      <c r="AB729" t="s">
        <v>74</v>
      </c>
      <c r="AC729" t="s">
        <v>75</v>
      </c>
      <c r="AD729" t="s">
        <v>72</v>
      </c>
      <c r="AE729" t="s">
        <v>76</v>
      </c>
      <c r="AF729" t="s">
        <v>3961</v>
      </c>
      <c r="AG729" t="s">
        <v>77</v>
      </c>
    </row>
    <row r="730" spans="1:33" x14ac:dyDescent="0.25">
      <c r="A730" t="str">
        <f>"1992712301"</f>
        <v>1992712301</v>
      </c>
      <c r="B730" t="str">
        <f>"01257010"</f>
        <v>01257010</v>
      </c>
      <c r="C730" t="s">
        <v>6496</v>
      </c>
      <c r="D730" t="s">
        <v>6497</v>
      </c>
      <c r="E730" t="s">
        <v>6498</v>
      </c>
      <c r="G730" t="s">
        <v>6499</v>
      </c>
      <c r="H730" t="s">
        <v>6500</v>
      </c>
      <c r="J730" t="s">
        <v>6501</v>
      </c>
      <c r="L730" t="s">
        <v>79</v>
      </c>
      <c r="M730" t="s">
        <v>72</v>
      </c>
      <c r="R730" t="s">
        <v>6502</v>
      </c>
      <c r="W730" t="s">
        <v>6498</v>
      </c>
      <c r="X730" t="s">
        <v>3318</v>
      </c>
      <c r="Y730" t="s">
        <v>247</v>
      </c>
      <c r="Z730" t="s">
        <v>73</v>
      </c>
      <c r="AA730" t="str">
        <f>"14225-1080"</f>
        <v>14225-1080</v>
      </c>
      <c r="AB730" t="s">
        <v>74</v>
      </c>
      <c r="AC730" t="s">
        <v>75</v>
      </c>
      <c r="AD730" t="s">
        <v>72</v>
      </c>
      <c r="AE730" t="s">
        <v>76</v>
      </c>
      <c r="AF730" t="s">
        <v>3974</v>
      </c>
      <c r="AG730" t="s">
        <v>77</v>
      </c>
    </row>
    <row r="731" spans="1:33" x14ac:dyDescent="0.25">
      <c r="A731" t="str">
        <f>"1013027846"</f>
        <v>1013027846</v>
      </c>
      <c r="B731" t="str">
        <f>"00897585"</f>
        <v>00897585</v>
      </c>
      <c r="C731" t="s">
        <v>6503</v>
      </c>
      <c r="D731" t="s">
        <v>6504</v>
      </c>
      <c r="E731" t="s">
        <v>6505</v>
      </c>
      <c r="G731" t="s">
        <v>6506</v>
      </c>
      <c r="H731" t="s">
        <v>6507</v>
      </c>
      <c r="J731" t="s">
        <v>6508</v>
      </c>
      <c r="L731" t="s">
        <v>79</v>
      </c>
      <c r="M731" t="s">
        <v>72</v>
      </c>
      <c r="R731" t="s">
        <v>6509</v>
      </c>
      <c r="W731" t="s">
        <v>6505</v>
      </c>
      <c r="X731" t="s">
        <v>6510</v>
      </c>
      <c r="Y731" t="s">
        <v>1079</v>
      </c>
      <c r="Z731" t="s">
        <v>73</v>
      </c>
      <c r="AA731" t="str">
        <f>"14075-5004"</f>
        <v>14075-5004</v>
      </c>
      <c r="AB731" t="s">
        <v>113</v>
      </c>
      <c r="AC731" t="s">
        <v>75</v>
      </c>
      <c r="AD731" t="s">
        <v>72</v>
      </c>
      <c r="AE731" t="s">
        <v>76</v>
      </c>
      <c r="AF731" t="s">
        <v>3974</v>
      </c>
      <c r="AG731" t="s">
        <v>77</v>
      </c>
    </row>
    <row r="732" spans="1:33" x14ac:dyDescent="0.25">
      <c r="A732" t="str">
        <f>"1003891896"</f>
        <v>1003891896</v>
      </c>
      <c r="B732" t="str">
        <f>"01934587"</f>
        <v>01934587</v>
      </c>
      <c r="C732" t="s">
        <v>6511</v>
      </c>
      <c r="D732" t="s">
        <v>2795</v>
      </c>
      <c r="E732" t="s">
        <v>2796</v>
      </c>
      <c r="G732" t="s">
        <v>6512</v>
      </c>
      <c r="H732" t="s">
        <v>6513</v>
      </c>
      <c r="J732" t="s">
        <v>6514</v>
      </c>
      <c r="L732" t="s">
        <v>79</v>
      </c>
      <c r="M732" t="s">
        <v>72</v>
      </c>
      <c r="R732" t="s">
        <v>2797</v>
      </c>
      <c r="W732" t="s">
        <v>2796</v>
      </c>
      <c r="X732" t="s">
        <v>2798</v>
      </c>
      <c r="Y732" t="s">
        <v>117</v>
      </c>
      <c r="Z732" t="s">
        <v>73</v>
      </c>
      <c r="AA732" t="str">
        <f>"14214-2648"</f>
        <v>14214-2648</v>
      </c>
      <c r="AB732" t="s">
        <v>74</v>
      </c>
      <c r="AC732" t="s">
        <v>75</v>
      </c>
      <c r="AD732" t="s">
        <v>72</v>
      </c>
      <c r="AE732" t="s">
        <v>76</v>
      </c>
      <c r="AF732" t="s">
        <v>3974</v>
      </c>
      <c r="AG732" t="s">
        <v>77</v>
      </c>
    </row>
    <row r="733" spans="1:33" x14ac:dyDescent="0.25">
      <c r="A733" t="str">
        <f>"1588652168"</f>
        <v>1588652168</v>
      </c>
      <c r="B733" t="str">
        <f>"02634339"</f>
        <v>02634339</v>
      </c>
      <c r="C733" t="s">
        <v>6515</v>
      </c>
      <c r="D733" t="s">
        <v>1507</v>
      </c>
      <c r="E733" t="s">
        <v>1508</v>
      </c>
      <c r="G733" t="s">
        <v>6515</v>
      </c>
      <c r="H733" t="s">
        <v>568</v>
      </c>
      <c r="J733" t="s">
        <v>6516</v>
      </c>
      <c r="L733" t="s">
        <v>79</v>
      </c>
      <c r="M733" t="s">
        <v>72</v>
      </c>
      <c r="R733" t="s">
        <v>1509</v>
      </c>
      <c r="W733" t="s">
        <v>1508</v>
      </c>
      <c r="X733" t="s">
        <v>219</v>
      </c>
      <c r="Y733" t="s">
        <v>117</v>
      </c>
      <c r="Z733" t="s">
        <v>73</v>
      </c>
      <c r="AA733" t="str">
        <f>"14203-1149"</f>
        <v>14203-1149</v>
      </c>
      <c r="AB733" t="s">
        <v>74</v>
      </c>
      <c r="AC733" t="s">
        <v>75</v>
      </c>
      <c r="AD733" t="s">
        <v>72</v>
      </c>
      <c r="AE733" t="s">
        <v>76</v>
      </c>
      <c r="AG733" t="s">
        <v>77</v>
      </c>
    </row>
    <row r="734" spans="1:33" x14ac:dyDescent="0.25">
      <c r="A734" t="str">
        <f>"1629052667"</f>
        <v>1629052667</v>
      </c>
      <c r="B734" t="str">
        <f>"01140472"</f>
        <v>01140472</v>
      </c>
      <c r="C734" t="s">
        <v>6517</v>
      </c>
      <c r="D734" t="s">
        <v>6518</v>
      </c>
      <c r="E734" t="s">
        <v>6519</v>
      </c>
      <c r="G734" t="s">
        <v>6304</v>
      </c>
      <c r="H734" t="s">
        <v>698</v>
      </c>
      <c r="J734" t="s">
        <v>6305</v>
      </c>
      <c r="L734" t="s">
        <v>80</v>
      </c>
      <c r="M734" t="s">
        <v>72</v>
      </c>
      <c r="R734" t="s">
        <v>6520</v>
      </c>
      <c r="W734" t="s">
        <v>6519</v>
      </c>
      <c r="X734" t="s">
        <v>2581</v>
      </c>
      <c r="Y734" t="s">
        <v>1079</v>
      </c>
      <c r="Z734" t="s">
        <v>73</v>
      </c>
      <c r="AA734" t="str">
        <f>"14075-3762"</f>
        <v>14075-3762</v>
      </c>
      <c r="AB734" t="s">
        <v>74</v>
      </c>
      <c r="AC734" t="s">
        <v>75</v>
      </c>
      <c r="AD734" t="s">
        <v>72</v>
      </c>
      <c r="AE734" t="s">
        <v>76</v>
      </c>
      <c r="AF734" t="s">
        <v>3961</v>
      </c>
      <c r="AG734" t="s">
        <v>77</v>
      </c>
    </row>
    <row r="735" spans="1:33" x14ac:dyDescent="0.25">
      <c r="A735" t="str">
        <f>"1427112291"</f>
        <v>1427112291</v>
      </c>
      <c r="B735" t="str">
        <f>"02842588"</f>
        <v>02842588</v>
      </c>
      <c r="C735" t="s">
        <v>6521</v>
      </c>
      <c r="D735" t="s">
        <v>6522</v>
      </c>
      <c r="E735" t="s">
        <v>6523</v>
      </c>
      <c r="G735" t="s">
        <v>6521</v>
      </c>
      <c r="H735" t="s">
        <v>6524</v>
      </c>
      <c r="J735" t="s">
        <v>6525</v>
      </c>
      <c r="L735" t="s">
        <v>71</v>
      </c>
      <c r="M735" t="s">
        <v>72</v>
      </c>
      <c r="R735" t="s">
        <v>6526</v>
      </c>
      <c r="W735" t="s">
        <v>6523</v>
      </c>
      <c r="X735" t="s">
        <v>1146</v>
      </c>
      <c r="Y735" t="s">
        <v>436</v>
      </c>
      <c r="Z735" t="s">
        <v>73</v>
      </c>
      <c r="AA735" t="str">
        <f>"14217-1304"</f>
        <v>14217-1304</v>
      </c>
      <c r="AB735" t="s">
        <v>74</v>
      </c>
      <c r="AC735" t="s">
        <v>75</v>
      </c>
      <c r="AD735" t="s">
        <v>72</v>
      </c>
      <c r="AE735" t="s">
        <v>76</v>
      </c>
      <c r="AF735" t="s">
        <v>3974</v>
      </c>
      <c r="AG735" t="s">
        <v>77</v>
      </c>
    </row>
    <row r="736" spans="1:33" x14ac:dyDescent="0.25">
      <c r="A736" t="str">
        <f>"1083679435"</f>
        <v>1083679435</v>
      </c>
      <c r="B736" t="str">
        <f>"01176627"</f>
        <v>01176627</v>
      </c>
      <c r="C736" t="s">
        <v>6527</v>
      </c>
      <c r="D736" t="s">
        <v>6528</v>
      </c>
      <c r="E736" t="s">
        <v>6529</v>
      </c>
      <c r="G736" t="s">
        <v>6530</v>
      </c>
      <c r="H736" t="s">
        <v>6531</v>
      </c>
      <c r="J736" t="s">
        <v>6532</v>
      </c>
      <c r="L736" t="s">
        <v>79</v>
      </c>
      <c r="M736" t="s">
        <v>72</v>
      </c>
      <c r="R736" t="s">
        <v>6533</v>
      </c>
      <c r="W736" t="s">
        <v>6529</v>
      </c>
      <c r="Y736" t="s">
        <v>117</v>
      </c>
      <c r="Z736" t="s">
        <v>73</v>
      </c>
      <c r="AA736" t="str">
        <f>"14215-1129"</f>
        <v>14215-1129</v>
      </c>
      <c r="AB736" t="s">
        <v>74</v>
      </c>
      <c r="AC736" t="s">
        <v>75</v>
      </c>
      <c r="AD736" t="s">
        <v>72</v>
      </c>
      <c r="AE736" t="s">
        <v>76</v>
      </c>
      <c r="AF736" t="s">
        <v>3974</v>
      </c>
      <c r="AG736" t="s">
        <v>77</v>
      </c>
    </row>
    <row r="737" spans="1:33" x14ac:dyDescent="0.25">
      <c r="A737" t="str">
        <f>"1922083989"</f>
        <v>1922083989</v>
      </c>
      <c r="B737" t="str">
        <f>"01398705"</f>
        <v>01398705</v>
      </c>
      <c r="C737" t="s">
        <v>6534</v>
      </c>
      <c r="D737" t="s">
        <v>3369</v>
      </c>
      <c r="E737" t="s">
        <v>3370</v>
      </c>
      <c r="G737" t="s">
        <v>5001</v>
      </c>
      <c r="H737" t="s">
        <v>640</v>
      </c>
      <c r="J737" t="s">
        <v>5002</v>
      </c>
      <c r="L737" t="s">
        <v>80</v>
      </c>
      <c r="M737" t="s">
        <v>72</v>
      </c>
      <c r="R737" t="s">
        <v>3371</v>
      </c>
      <c r="W737" t="s">
        <v>3370</v>
      </c>
      <c r="X737" t="s">
        <v>2473</v>
      </c>
      <c r="Y737" t="s">
        <v>117</v>
      </c>
      <c r="Z737" t="s">
        <v>73</v>
      </c>
      <c r="AA737" t="str">
        <f>"14209-1603"</f>
        <v>14209-1603</v>
      </c>
      <c r="AB737" t="s">
        <v>74</v>
      </c>
      <c r="AC737" t="s">
        <v>75</v>
      </c>
      <c r="AD737" t="s">
        <v>72</v>
      </c>
      <c r="AE737" t="s">
        <v>76</v>
      </c>
      <c r="AF737" t="s">
        <v>3961</v>
      </c>
      <c r="AG737" t="s">
        <v>77</v>
      </c>
    </row>
    <row r="738" spans="1:33" x14ac:dyDescent="0.25">
      <c r="A738" t="str">
        <f>"1942285739"</f>
        <v>1942285739</v>
      </c>
      <c r="B738" t="str">
        <f>"01470153"</f>
        <v>01470153</v>
      </c>
      <c r="C738" t="s">
        <v>6535</v>
      </c>
      <c r="D738" t="s">
        <v>3245</v>
      </c>
      <c r="E738" t="s">
        <v>3246</v>
      </c>
      <c r="G738" t="s">
        <v>6512</v>
      </c>
      <c r="H738" t="s">
        <v>6513</v>
      </c>
      <c r="J738" t="s">
        <v>6514</v>
      </c>
      <c r="L738" t="s">
        <v>79</v>
      </c>
      <c r="M738" t="s">
        <v>72</v>
      </c>
      <c r="R738" t="s">
        <v>3247</v>
      </c>
      <c r="W738" t="s">
        <v>3246</v>
      </c>
      <c r="Y738" t="s">
        <v>117</v>
      </c>
      <c r="Z738" t="s">
        <v>73</v>
      </c>
      <c r="AA738" t="str">
        <f>"14215-3098"</f>
        <v>14215-3098</v>
      </c>
      <c r="AB738" t="s">
        <v>74</v>
      </c>
      <c r="AC738" t="s">
        <v>75</v>
      </c>
      <c r="AD738" t="s">
        <v>72</v>
      </c>
      <c r="AE738" t="s">
        <v>76</v>
      </c>
      <c r="AF738" t="s">
        <v>3974</v>
      </c>
      <c r="AG738" t="s">
        <v>77</v>
      </c>
    </row>
    <row r="739" spans="1:33" x14ac:dyDescent="0.25">
      <c r="A739" t="str">
        <f>"1811931066"</f>
        <v>1811931066</v>
      </c>
      <c r="B739" t="str">
        <f>"00614219"</f>
        <v>00614219</v>
      </c>
      <c r="C739" t="s">
        <v>6536</v>
      </c>
      <c r="D739" t="s">
        <v>6537</v>
      </c>
      <c r="E739" t="s">
        <v>6538</v>
      </c>
      <c r="G739" t="s">
        <v>3988</v>
      </c>
      <c r="H739" t="s">
        <v>5317</v>
      </c>
      <c r="J739" t="s">
        <v>3989</v>
      </c>
      <c r="L739" t="s">
        <v>79</v>
      </c>
      <c r="M739" t="s">
        <v>72</v>
      </c>
      <c r="R739" t="s">
        <v>6539</v>
      </c>
      <c r="W739" t="s">
        <v>6540</v>
      </c>
      <c r="X739" t="s">
        <v>1529</v>
      </c>
      <c r="Y739" t="s">
        <v>221</v>
      </c>
      <c r="Z739" t="s">
        <v>73</v>
      </c>
      <c r="AA739" t="str">
        <f>"14221-7717"</f>
        <v>14221-7717</v>
      </c>
      <c r="AB739" t="s">
        <v>74</v>
      </c>
      <c r="AC739" t="s">
        <v>75</v>
      </c>
      <c r="AD739" t="s">
        <v>72</v>
      </c>
      <c r="AE739" t="s">
        <v>76</v>
      </c>
      <c r="AF739" t="s">
        <v>3974</v>
      </c>
      <c r="AG739" t="s">
        <v>77</v>
      </c>
    </row>
    <row r="740" spans="1:33" x14ac:dyDescent="0.25">
      <c r="C740" t="s">
        <v>6541</v>
      </c>
      <c r="G740" t="s">
        <v>6542</v>
      </c>
      <c r="H740" t="s">
        <v>6543</v>
      </c>
      <c r="J740" t="s">
        <v>6544</v>
      </c>
      <c r="K740" t="s">
        <v>89</v>
      </c>
      <c r="L740" t="s">
        <v>90</v>
      </c>
      <c r="M740" t="s">
        <v>72</v>
      </c>
      <c r="N740" t="s">
        <v>6545</v>
      </c>
      <c r="O740" t="s">
        <v>1101</v>
      </c>
      <c r="P740" t="s">
        <v>73</v>
      </c>
      <c r="Q740" t="str">
        <f>"14201"</f>
        <v>14201</v>
      </c>
      <c r="AC740" t="s">
        <v>75</v>
      </c>
      <c r="AD740" t="s">
        <v>72</v>
      </c>
      <c r="AE740" t="s">
        <v>91</v>
      </c>
      <c r="AF740" t="s">
        <v>4078</v>
      </c>
      <c r="AG740" t="s">
        <v>77</v>
      </c>
    </row>
    <row r="741" spans="1:33" x14ac:dyDescent="0.25">
      <c r="A741" t="str">
        <f>"1154315554"</f>
        <v>1154315554</v>
      </c>
      <c r="B741" t="str">
        <f>"01331722"</f>
        <v>01331722</v>
      </c>
      <c r="C741" t="s">
        <v>6546</v>
      </c>
      <c r="D741" t="s">
        <v>3346</v>
      </c>
      <c r="E741" t="s">
        <v>3347</v>
      </c>
      <c r="G741" t="s">
        <v>6546</v>
      </c>
      <c r="H741" t="s">
        <v>6547</v>
      </c>
      <c r="J741" t="s">
        <v>6548</v>
      </c>
      <c r="L741" t="s">
        <v>80</v>
      </c>
      <c r="M741" t="s">
        <v>72</v>
      </c>
      <c r="R741" t="s">
        <v>3348</v>
      </c>
      <c r="W741" t="s">
        <v>3347</v>
      </c>
      <c r="X741" t="s">
        <v>3349</v>
      </c>
      <c r="Y741" t="s">
        <v>237</v>
      </c>
      <c r="Z741" t="s">
        <v>73</v>
      </c>
      <c r="AA741" t="str">
        <f>"14224-2643"</f>
        <v>14224-2643</v>
      </c>
      <c r="AB741" t="s">
        <v>74</v>
      </c>
      <c r="AC741" t="s">
        <v>75</v>
      </c>
      <c r="AD741" t="s">
        <v>72</v>
      </c>
      <c r="AE741" t="s">
        <v>76</v>
      </c>
      <c r="AF741" t="s">
        <v>3961</v>
      </c>
      <c r="AG741" t="s">
        <v>77</v>
      </c>
    </row>
    <row r="742" spans="1:33" x14ac:dyDescent="0.25">
      <c r="A742" t="str">
        <f>"1104069525"</f>
        <v>1104069525</v>
      </c>
      <c r="B742" t="str">
        <f>"03631454"</f>
        <v>03631454</v>
      </c>
      <c r="C742" t="s">
        <v>6549</v>
      </c>
      <c r="D742" t="s">
        <v>6550</v>
      </c>
      <c r="E742" t="s">
        <v>6551</v>
      </c>
      <c r="G742" t="s">
        <v>4883</v>
      </c>
      <c r="H742" t="s">
        <v>3216</v>
      </c>
      <c r="J742" t="s">
        <v>4884</v>
      </c>
      <c r="L742" t="s">
        <v>79</v>
      </c>
      <c r="M742" t="s">
        <v>72</v>
      </c>
      <c r="R742" t="s">
        <v>6552</v>
      </c>
      <c r="W742" t="s">
        <v>6551</v>
      </c>
      <c r="X742" t="s">
        <v>187</v>
      </c>
      <c r="Y742" t="s">
        <v>188</v>
      </c>
      <c r="Z742" t="s">
        <v>73</v>
      </c>
      <c r="AA742" t="str">
        <f>"14092-1903"</f>
        <v>14092-1903</v>
      </c>
      <c r="AB742" t="s">
        <v>74</v>
      </c>
      <c r="AC742" t="s">
        <v>75</v>
      </c>
      <c r="AD742" t="s">
        <v>72</v>
      </c>
      <c r="AE742" t="s">
        <v>76</v>
      </c>
      <c r="AF742" t="s">
        <v>3974</v>
      </c>
      <c r="AG742" t="s">
        <v>77</v>
      </c>
    </row>
    <row r="743" spans="1:33" x14ac:dyDescent="0.25">
      <c r="A743" t="str">
        <f>"1639123433"</f>
        <v>1639123433</v>
      </c>
      <c r="B743" t="str">
        <f>"01760214"</f>
        <v>01760214</v>
      </c>
      <c r="C743" t="s">
        <v>6553</v>
      </c>
      <c r="D743" t="s">
        <v>6554</v>
      </c>
      <c r="E743" t="s">
        <v>6555</v>
      </c>
      <c r="G743" t="s">
        <v>3969</v>
      </c>
      <c r="H743" t="s">
        <v>3970</v>
      </c>
      <c r="J743" t="s">
        <v>3971</v>
      </c>
      <c r="L743" t="s">
        <v>79</v>
      </c>
      <c r="M743" t="s">
        <v>72</v>
      </c>
      <c r="R743" t="s">
        <v>6556</v>
      </c>
      <c r="W743" t="s">
        <v>6555</v>
      </c>
      <c r="X743" t="s">
        <v>1146</v>
      </c>
      <c r="Y743" t="s">
        <v>436</v>
      </c>
      <c r="Z743" t="s">
        <v>73</v>
      </c>
      <c r="AA743" t="str">
        <f>"14217-1304"</f>
        <v>14217-1304</v>
      </c>
      <c r="AB743" t="s">
        <v>74</v>
      </c>
      <c r="AC743" t="s">
        <v>75</v>
      </c>
      <c r="AD743" t="s">
        <v>72</v>
      </c>
      <c r="AE743" t="s">
        <v>76</v>
      </c>
      <c r="AF743" t="s">
        <v>3974</v>
      </c>
      <c r="AG743" t="s">
        <v>77</v>
      </c>
    </row>
    <row r="744" spans="1:33" x14ac:dyDescent="0.25">
      <c r="A744" t="str">
        <f>"1972664449"</f>
        <v>1972664449</v>
      </c>
      <c r="B744" t="str">
        <f>"03038786"</f>
        <v>03038786</v>
      </c>
      <c r="C744" t="s">
        <v>6557</v>
      </c>
      <c r="D744" t="s">
        <v>1259</v>
      </c>
      <c r="E744" t="s">
        <v>1260</v>
      </c>
      <c r="G744" t="s">
        <v>6558</v>
      </c>
      <c r="H744" t="s">
        <v>959</v>
      </c>
      <c r="J744" t="s">
        <v>6559</v>
      </c>
      <c r="L744" t="s">
        <v>79</v>
      </c>
      <c r="M744" t="s">
        <v>72</v>
      </c>
      <c r="R744" t="s">
        <v>1261</v>
      </c>
      <c r="W744" t="s">
        <v>1262</v>
      </c>
      <c r="X744" t="s">
        <v>393</v>
      </c>
      <c r="Y744" t="s">
        <v>228</v>
      </c>
      <c r="Z744" t="s">
        <v>73</v>
      </c>
      <c r="AA744" t="str">
        <f>"14226-1727"</f>
        <v>14226-1727</v>
      </c>
      <c r="AB744" t="s">
        <v>113</v>
      </c>
      <c r="AC744" t="s">
        <v>75</v>
      </c>
      <c r="AD744" t="s">
        <v>72</v>
      </c>
      <c r="AE744" t="s">
        <v>76</v>
      </c>
      <c r="AG744" t="s">
        <v>77</v>
      </c>
    </row>
    <row r="745" spans="1:33" x14ac:dyDescent="0.25">
      <c r="A745" t="str">
        <f>"1538100755"</f>
        <v>1538100755</v>
      </c>
      <c r="B745" t="str">
        <f>"00832444"</f>
        <v>00832444</v>
      </c>
      <c r="C745" t="s">
        <v>6560</v>
      </c>
      <c r="D745" t="s">
        <v>2952</v>
      </c>
      <c r="E745" t="s">
        <v>2953</v>
      </c>
      <c r="G745" t="s">
        <v>4727</v>
      </c>
      <c r="H745" t="s">
        <v>2908</v>
      </c>
      <c r="J745" t="s">
        <v>4728</v>
      </c>
      <c r="L745" t="s">
        <v>79</v>
      </c>
      <c r="M745" t="s">
        <v>72</v>
      </c>
      <c r="R745" t="s">
        <v>2954</v>
      </c>
      <c r="W745" t="s">
        <v>2953</v>
      </c>
      <c r="X745" t="s">
        <v>301</v>
      </c>
      <c r="Y745" t="s">
        <v>117</v>
      </c>
      <c r="Z745" t="s">
        <v>73</v>
      </c>
      <c r="AA745" t="str">
        <f>"14214-2648"</f>
        <v>14214-2648</v>
      </c>
      <c r="AB745" t="s">
        <v>74</v>
      </c>
      <c r="AC745" t="s">
        <v>75</v>
      </c>
      <c r="AD745" t="s">
        <v>72</v>
      </c>
      <c r="AE745" t="s">
        <v>76</v>
      </c>
      <c r="AF745" t="s">
        <v>3961</v>
      </c>
      <c r="AG745" t="s">
        <v>77</v>
      </c>
    </row>
    <row r="746" spans="1:33" x14ac:dyDescent="0.25">
      <c r="A746" t="str">
        <f>"1902923923"</f>
        <v>1902923923</v>
      </c>
      <c r="B746" t="str">
        <f>"00899032"</f>
        <v>00899032</v>
      </c>
      <c r="C746" t="s">
        <v>6561</v>
      </c>
      <c r="D746" t="s">
        <v>1753</v>
      </c>
      <c r="E746" t="s">
        <v>1754</v>
      </c>
      <c r="G746" t="s">
        <v>6562</v>
      </c>
      <c r="H746" t="s">
        <v>1755</v>
      </c>
      <c r="J746" t="s">
        <v>6563</v>
      </c>
      <c r="L746" t="s">
        <v>71</v>
      </c>
      <c r="M746" t="s">
        <v>72</v>
      </c>
      <c r="R746" t="s">
        <v>1756</v>
      </c>
      <c r="W746" t="s">
        <v>1754</v>
      </c>
      <c r="X746" t="s">
        <v>1757</v>
      </c>
      <c r="Y746" t="s">
        <v>221</v>
      </c>
      <c r="Z746" t="s">
        <v>73</v>
      </c>
      <c r="AA746" t="str">
        <f>"14221"</f>
        <v>14221</v>
      </c>
      <c r="AB746" t="s">
        <v>74</v>
      </c>
      <c r="AC746" t="s">
        <v>75</v>
      </c>
      <c r="AD746" t="s">
        <v>72</v>
      </c>
      <c r="AE746" t="s">
        <v>76</v>
      </c>
      <c r="AF746" t="s">
        <v>3974</v>
      </c>
      <c r="AG746" t="s">
        <v>77</v>
      </c>
    </row>
    <row r="747" spans="1:33" x14ac:dyDescent="0.25">
      <c r="A747" t="str">
        <f>"1457399883"</f>
        <v>1457399883</v>
      </c>
      <c r="B747" t="str">
        <f>"01129840"</f>
        <v>01129840</v>
      </c>
      <c r="C747" t="s">
        <v>6564</v>
      </c>
      <c r="D747" t="s">
        <v>3163</v>
      </c>
      <c r="E747" t="s">
        <v>3164</v>
      </c>
      <c r="G747" t="s">
        <v>6565</v>
      </c>
      <c r="H747" t="s">
        <v>3165</v>
      </c>
      <c r="J747" t="s">
        <v>6566</v>
      </c>
      <c r="L747" t="s">
        <v>79</v>
      </c>
      <c r="M747" t="s">
        <v>72</v>
      </c>
      <c r="R747" t="s">
        <v>3166</v>
      </c>
      <c r="W747" t="s">
        <v>3164</v>
      </c>
      <c r="X747" t="s">
        <v>2747</v>
      </c>
      <c r="Y747" t="s">
        <v>117</v>
      </c>
      <c r="Z747" t="s">
        <v>73</v>
      </c>
      <c r="AA747" t="str">
        <f>"14201-1435"</f>
        <v>14201-1435</v>
      </c>
      <c r="AB747" t="s">
        <v>74</v>
      </c>
      <c r="AC747" t="s">
        <v>75</v>
      </c>
      <c r="AD747" t="s">
        <v>72</v>
      </c>
      <c r="AE747" t="s">
        <v>76</v>
      </c>
      <c r="AG747" t="s">
        <v>77</v>
      </c>
    </row>
    <row r="748" spans="1:33" x14ac:dyDescent="0.25">
      <c r="A748" t="str">
        <f>"1245292192"</f>
        <v>1245292192</v>
      </c>
      <c r="B748" t="str">
        <f>"00647470"</f>
        <v>00647470</v>
      </c>
      <c r="C748" t="s">
        <v>6567</v>
      </c>
      <c r="D748" t="s">
        <v>6568</v>
      </c>
      <c r="E748" t="s">
        <v>6569</v>
      </c>
      <c r="G748" t="s">
        <v>6334</v>
      </c>
      <c r="H748" t="s">
        <v>6335</v>
      </c>
      <c r="J748" t="s">
        <v>6336</v>
      </c>
      <c r="L748" t="s">
        <v>80</v>
      </c>
      <c r="M748" t="s">
        <v>72</v>
      </c>
      <c r="R748" t="s">
        <v>6570</v>
      </c>
      <c r="W748" t="s">
        <v>6569</v>
      </c>
      <c r="X748" t="s">
        <v>576</v>
      </c>
      <c r="Y748" t="s">
        <v>117</v>
      </c>
      <c r="Z748" t="s">
        <v>73</v>
      </c>
      <c r="AA748" t="str">
        <f>"14223-1107"</f>
        <v>14223-1107</v>
      </c>
      <c r="AB748" t="s">
        <v>74</v>
      </c>
      <c r="AC748" t="s">
        <v>75</v>
      </c>
      <c r="AD748" t="s">
        <v>72</v>
      </c>
      <c r="AE748" t="s">
        <v>76</v>
      </c>
      <c r="AF748" t="s">
        <v>3961</v>
      </c>
      <c r="AG748" t="s">
        <v>77</v>
      </c>
    </row>
    <row r="749" spans="1:33" x14ac:dyDescent="0.25">
      <c r="A749" t="str">
        <f>"1154395648"</f>
        <v>1154395648</v>
      </c>
      <c r="B749" t="str">
        <f>"01419974"</f>
        <v>01419974</v>
      </c>
      <c r="C749" t="s">
        <v>6571</v>
      </c>
      <c r="D749" t="s">
        <v>2122</v>
      </c>
      <c r="E749" t="s">
        <v>2123</v>
      </c>
      <c r="G749" t="s">
        <v>5082</v>
      </c>
      <c r="H749" t="s">
        <v>1023</v>
      </c>
      <c r="J749" t="s">
        <v>5083</v>
      </c>
      <c r="L749" t="s">
        <v>71</v>
      </c>
      <c r="M749" t="s">
        <v>72</v>
      </c>
      <c r="R749" t="s">
        <v>2124</v>
      </c>
      <c r="W749" t="s">
        <v>2123</v>
      </c>
      <c r="X749" t="s">
        <v>187</v>
      </c>
      <c r="Y749" t="s">
        <v>188</v>
      </c>
      <c r="Z749" t="s">
        <v>73</v>
      </c>
      <c r="AA749" t="str">
        <f>"14092-1903"</f>
        <v>14092-1903</v>
      </c>
      <c r="AB749" t="s">
        <v>74</v>
      </c>
      <c r="AC749" t="s">
        <v>75</v>
      </c>
      <c r="AD749" t="s">
        <v>72</v>
      </c>
      <c r="AE749" t="s">
        <v>76</v>
      </c>
      <c r="AF749" t="s">
        <v>3974</v>
      </c>
      <c r="AG749" t="s">
        <v>77</v>
      </c>
    </row>
    <row r="750" spans="1:33" x14ac:dyDescent="0.25">
      <c r="A750" t="str">
        <f>"1821070970"</f>
        <v>1821070970</v>
      </c>
      <c r="B750" t="str">
        <f>"01458795"</f>
        <v>01458795</v>
      </c>
      <c r="C750" t="s">
        <v>6572</v>
      </c>
      <c r="D750" t="s">
        <v>2527</v>
      </c>
      <c r="E750" t="s">
        <v>2528</v>
      </c>
      <c r="G750" t="s">
        <v>5032</v>
      </c>
      <c r="H750" t="s">
        <v>5033</v>
      </c>
      <c r="J750" t="s">
        <v>5034</v>
      </c>
      <c r="L750" t="s">
        <v>80</v>
      </c>
      <c r="M750" t="s">
        <v>72</v>
      </c>
      <c r="R750" t="s">
        <v>2529</v>
      </c>
      <c r="W750" t="s">
        <v>2528</v>
      </c>
      <c r="X750" t="s">
        <v>2530</v>
      </c>
      <c r="Y750" t="s">
        <v>479</v>
      </c>
      <c r="Z750" t="s">
        <v>73</v>
      </c>
      <c r="AA750" t="str">
        <f>"14141-1000"</f>
        <v>14141-1000</v>
      </c>
      <c r="AB750" t="s">
        <v>74</v>
      </c>
      <c r="AC750" t="s">
        <v>75</v>
      </c>
      <c r="AD750" t="s">
        <v>72</v>
      </c>
      <c r="AE750" t="s">
        <v>76</v>
      </c>
      <c r="AF750" t="s">
        <v>3961</v>
      </c>
      <c r="AG750" t="s">
        <v>77</v>
      </c>
    </row>
    <row r="751" spans="1:33" x14ac:dyDescent="0.25">
      <c r="A751" t="str">
        <f>"1871586420"</f>
        <v>1871586420</v>
      </c>
      <c r="B751" t="str">
        <f>"02212779"</f>
        <v>02212779</v>
      </c>
      <c r="C751" t="s">
        <v>6573</v>
      </c>
      <c r="D751" t="s">
        <v>6574</v>
      </c>
      <c r="E751" t="s">
        <v>6575</v>
      </c>
      <c r="G751" t="s">
        <v>6573</v>
      </c>
      <c r="H751" t="s">
        <v>1123</v>
      </c>
      <c r="J751" t="s">
        <v>6576</v>
      </c>
      <c r="L751" t="s">
        <v>84</v>
      </c>
      <c r="M751" t="s">
        <v>72</v>
      </c>
      <c r="R751" t="s">
        <v>6577</v>
      </c>
      <c r="W751" t="s">
        <v>6575</v>
      </c>
      <c r="X751" t="s">
        <v>6578</v>
      </c>
      <c r="Y751" t="s">
        <v>312</v>
      </c>
      <c r="Z751" t="s">
        <v>73</v>
      </c>
      <c r="AA751" t="str">
        <f>"14559-1970"</f>
        <v>14559-1970</v>
      </c>
      <c r="AB751" t="s">
        <v>74</v>
      </c>
      <c r="AC751" t="s">
        <v>75</v>
      </c>
      <c r="AD751" t="s">
        <v>72</v>
      </c>
      <c r="AE751" t="s">
        <v>76</v>
      </c>
      <c r="AF751" t="s">
        <v>3974</v>
      </c>
      <c r="AG751" t="s">
        <v>77</v>
      </c>
    </row>
    <row r="752" spans="1:33" x14ac:dyDescent="0.25">
      <c r="A752" t="str">
        <f>"1740266451"</f>
        <v>1740266451</v>
      </c>
      <c r="B752" t="str">
        <f>"01029556"</f>
        <v>01029556</v>
      </c>
      <c r="C752" t="s">
        <v>6579</v>
      </c>
      <c r="D752" t="s">
        <v>2469</v>
      </c>
      <c r="E752" t="s">
        <v>2470</v>
      </c>
      <c r="G752" t="s">
        <v>6579</v>
      </c>
      <c r="H752" t="s">
        <v>640</v>
      </c>
      <c r="J752" t="s">
        <v>6580</v>
      </c>
      <c r="L752" t="s">
        <v>80</v>
      </c>
      <c r="M752" t="s">
        <v>72</v>
      </c>
      <c r="R752" t="s">
        <v>2471</v>
      </c>
      <c r="W752" t="s">
        <v>2472</v>
      </c>
      <c r="X752" t="s">
        <v>2473</v>
      </c>
      <c r="Y752" t="s">
        <v>117</v>
      </c>
      <c r="Z752" t="s">
        <v>73</v>
      </c>
      <c r="AA752" t="str">
        <f>"14209-1603"</f>
        <v>14209-1603</v>
      </c>
      <c r="AB752" t="s">
        <v>74</v>
      </c>
      <c r="AC752" t="s">
        <v>75</v>
      </c>
      <c r="AD752" t="s">
        <v>72</v>
      </c>
      <c r="AE752" t="s">
        <v>76</v>
      </c>
      <c r="AF752" t="s">
        <v>3961</v>
      </c>
      <c r="AG752" t="s">
        <v>77</v>
      </c>
    </row>
    <row r="753" spans="1:33" x14ac:dyDescent="0.25">
      <c r="A753" t="str">
        <f>"1437451150"</f>
        <v>1437451150</v>
      </c>
      <c r="B753" t="str">
        <f>"03340301"</f>
        <v>03340301</v>
      </c>
      <c r="C753" t="s">
        <v>6581</v>
      </c>
      <c r="D753" t="s">
        <v>6582</v>
      </c>
      <c r="E753" t="s">
        <v>6583</v>
      </c>
      <c r="G753" t="s">
        <v>6581</v>
      </c>
      <c r="H753" t="s">
        <v>6584</v>
      </c>
      <c r="J753" t="s">
        <v>6585</v>
      </c>
      <c r="L753" t="s">
        <v>35</v>
      </c>
      <c r="M753" t="s">
        <v>72</v>
      </c>
      <c r="R753" t="s">
        <v>6583</v>
      </c>
      <c r="W753" t="s">
        <v>6583</v>
      </c>
      <c r="X753" t="s">
        <v>6586</v>
      </c>
      <c r="Y753" t="s">
        <v>247</v>
      </c>
      <c r="Z753" t="s">
        <v>73</v>
      </c>
      <c r="AA753" t="str">
        <f>"14225-4021"</f>
        <v>14225-4021</v>
      </c>
      <c r="AB753" t="s">
        <v>112</v>
      </c>
      <c r="AC753" t="s">
        <v>75</v>
      </c>
      <c r="AD753" t="s">
        <v>72</v>
      </c>
      <c r="AE753" t="s">
        <v>76</v>
      </c>
      <c r="AF753" t="s">
        <v>4043</v>
      </c>
      <c r="AG753" t="s">
        <v>77</v>
      </c>
    </row>
    <row r="754" spans="1:33" x14ac:dyDescent="0.25">
      <c r="A754" t="str">
        <f>"1043312093"</f>
        <v>1043312093</v>
      </c>
      <c r="B754" t="str">
        <f>"01047772"</f>
        <v>01047772</v>
      </c>
      <c r="C754" t="s">
        <v>6587</v>
      </c>
      <c r="D754" t="s">
        <v>3005</v>
      </c>
      <c r="E754" t="s">
        <v>3006</v>
      </c>
      <c r="G754" t="s">
        <v>6588</v>
      </c>
      <c r="H754" t="s">
        <v>3007</v>
      </c>
      <c r="J754" t="s">
        <v>6589</v>
      </c>
      <c r="L754" t="s">
        <v>71</v>
      </c>
      <c r="M754" t="s">
        <v>72</v>
      </c>
      <c r="R754" t="s">
        <v>3008</v>
      </c>
      <c r="W754" t="s">
        <v>3006</v>
      </c>
      <c r="X754" t="s">
        <v>265</v>
      </c>
      <c r="Y754" t="s">
        <v>188</v>
      </c>
      <c r="Z754" t="s">
        <v>73</v>
      </c>
      <c r="AA754" t="str">
        <f>"14092-2149"</f>
        <v>14092-2149</v>
      </c>
      <c r="AB754" t="s">
        <v>74</v>
      </c>
      <c r="AC754" t="s">
        <v>75</v>
      </c>
      <c r="AD754" t="s">
        <v>72</v>
      </c>
      <c r="AE754" t="s">
        <v>76</v>
      </c>
      <c r="AF754" t="s">
        <v>3974</v>
      </c>
      <c r="AG754" t="s">
        <v>77</v>
      </c>
    </row>
    <row r="755" spans="1:33" x14ac:dyDescent="0.25">
      <c r="A755" t="str">
        <f>"1972567741"</f>
        <v>1972567741</v>
      </c>
      <c r="B755" t="str">
        <f>"00892851"</f>
        <v>00892851</v>
      </c>
      <c r="C755" t="s">
        <v>6590</v>
      </c>
      <c r="D755" t="s">
        <v>3341</v>
      </c>
      <c r="E755" t="s">
        <v>3342</v>
      </c>
      <c r="G755" t="s">
        <v>5185</v>
      </c>
      <c r="H755" t="s">
        <v>1015</v>
      </c>
      <c r="J755" t="s">
        <v>5186</v>
      </c>
      <c r="L755" t="s">
        <v>79</v>
      </c>
      <c r="M755" t="s">
        <v>72</v>
      </c>
      <c r="R755" t="s">
        <v>3343</v>
      </c>
      <c r="W755" t="s">
        <v>3342</v>
      </c>
      <c r="X755" t="s">
        <v>664</v>
      </c>
      <c r="Y755" t="s">
        <v>221</v>
      </c>
      <c r="Z755" t="s">
        <v>73</v>
      </c>
      <c r="AA755" t="str">
        <f>"14221-5934"</f>
        <v>14221-5934</v>
      </c>
      <c r="AB755" t="s">
        <v>74</v>
      </c>
      <c r="AC755" t="s">
        <v>75</v>
      </c>
      <c r="AD755" t="s">
        <v>72</v>
      </c>
      <c r="AE755" t="s">
        <v>76</v>
      </c>
      <c r="AF755" t="s">
        <v>3974</v>
      </c>
      <c r="AG755" t="s">
        <v>77</v>
      </c>
    </row>
    <row r="756" spans="1:33" x14ac:dyDescent="0.25">
      <c r="A756" t="str">
        <f>"1659368827"</f>
        <v>1659368827</v>
      </c>
      <c r="B756" t="str">
        <f>"00688546"</f>
        <v>00688546</v>
      </c>
      <c r="C756" t="s">
        <v>6591</v>
      </c>
      <c r="D756" t="s">
        <v>3863</v>
      </c>
      <c r="E756" t="s">
        <v>3864</v>
      </c>
      <c r="G756" t="s">
        <v>3865</v>
      </c>
      <c r="H756" t="s">
        <v>3866</v>
      </c>
      <c r="J756" t="s">
        <v>3867</v>
      </c>
      <c r="L756" t="s">
        <v>15</v>
      </c>
      <c r="M756" t="s">
        <v>81</v>
      </c>
      <c r="R756" t="s">
        <v>3868</v>
      </c>
      <c r="W756" t="s">
        <v>3864</v>
      </c>
      <c r="X756" t="s">
        <v>3869</v>
      </c>
      <c r="Y756" t="s">
        <v>392</v>
      </c>
      <c r="Z756" t="s">
        <v>73</v>
      </c>
      <c r="AA756" t="str">
        <f>"14120-1508"</f>
        <v>14120-1508</v>
      </c>
      <c r="AB756" t="s">
        <v>98</v>
      </c>
      <c r="AC756" t="s">
        <v>75</v>
      </c>
      <c r="AD756" t="s">
        <v>72</v>
      </c>
      <c r="AE756" t="s">
        <v>76</v>
      </c>
      <c r="AF756" t="s">
        <v>4078</v>
      </c>
      <c r="AG756" t="s">
        <v>77</v>
      </c>
    </row>
    <row r="757" spans="1:33" x14ac:dyDescent="0.25">
      <c r="A757" t="str">
        <f>"1194857292"</f>
        <v>1194857292</v>
      </c>
      <c r="B757" t="str">
        <f>"00356372"</f>
        <v>00356372</v>
      </c>
      <c r="C757" t="s">
        <v>6592</v>
      </c>
      <c r="D757" t="s">
        <v>3099</v>
      </c>
      <c r="E757" t="s">
        <v>3100</v>
      </c>
      <c r="G757" t="s">
        <v>6593</v>
      </c>
      <c r="H757" t="s">
        <v>3101</v>
      </c>
      <c r="J757" t="s">
        <v>6594</v>
      </c>
      <c r="L757" t="s">
        <v>15</v>
      </c>
      <c r="M757" t="s">
        <v>81</v>
      </c>
      <c r="R757" t="s">
        <v>3098</v>
      </c>
      <c r="W757" t="s">
        <v>3100</v>
      </c>
      <c r="X757" t="s">
        <v>3102</v>
      </c>
      <c r="Y757" t="s">
        <v>240</v>
      </c>
      <c r="Z757" t="s">
        <v>73</v>
      </c>
      <c r="AA757" t="str">
        <f>"14094-1500"</f>
        <v>14094-1500</v>
      </c>
      <c r="AB757" t="s">
        <v>98</v>
      </c>
      <c r="AC757" t="s">
        <v>75</v>
      </c>
      <c r="AD757" t="s">
        <v>72</v>
      </c>
      <c r="AE757" t="s">
        <v>76</v>
      </c>
      <c r="AF757" t="s">
        <v>4078</v>
      </c>
      <c r="AG757" t="s">
        <v>77</v>
      </c>
    </row>
    <row r="758" spans="1:33" x14ac:dyDescent="0.25">
      <c r="A758" t="str">
        <f>"1366583767"</f>
        <v>1366583767</v>
      </c>
      <c r="B758" t="str">
        <f>"02897607"</f>
        <v>02897607</v>
      </c>
      <c r="C758" t="s">
        <v>6595</v>
      </c>
      <c r="D758" t="s">
        <v>2312</v>
      </c>
      <c r="E758" t="s">
        <v>2313</v>
      </c>
      <c r="G758" t="s">
        <v>4014</v>
      </c>
      <c r="H758" t="s">
        <v>750</v>
      </c>
      <c r="J758" t="s">
        <v>4015</v>
      </c>
      <c r="L758" t="s">
        <v>79</v>
      </c>
      <c r="M758" t="s">
        <v>72</v>
      </c>
      <c r="R758" t="s">
        <v>2314</v>
      </c>
      <c r="W758" t="s">
        <v>2313</v>
      </c>
      <c r="X758" t="s">
        <v>295</v>
      </c>
      <c r="Y758" t="s">
        <v>117</v>
      </c>
      <c r="Z758" t="s">
        <v>73</v>
      </c>
      <c r="AA758" t="str">
        <f>"14215-3021"</f>
        <v>14215-3021</v>
      </c>
      <c r="AB758" t="s">
        <v>74</v>
      </c>
      <c r="AC758" t="s">
        <v>75</v>
      </c>
      <c r="AD758" t="s">
        <v>72</v>
      </c>
      <c r="AE758" t="s">
        <v>76</v>
      </c>
      <c r="AF758" t="s">
        <v>3974</v>
      </c>
      <c r="AG758" t="s">
        <v>77</v>
      </c>
    </row>
    <row r="759" spans="1:33" x14ac:dyDescent="0.25">
      <c r="A759" t="str">
        <f>"1861631590"</f>
        <v>1861631590</v>
      </c>
      <c r="B759" t="str">
        <f>"03778383"</f>
        <v>03778383</v>
      </c>
      <c r="C759" t="s">
        <v>6596</v>
      </c>
      <c r="D759" t="s">
        <v>6597</v>
      </c>
      <c r="E759" t="s">
        <v>6598</v>
      </c>
      <c r="G759" t="s">
        <v>6120</v>
      </c>
      <c r="H759" t="s">
        <v>6121</v>
      </c>
      <c r="J759" t="s">
        <v>6122</v>
      </c>
      <c r="L759" t="s">
        <v>79</v>
      </c>
      <c r="M759" t="s">
        <v>72</v>
      </c>
      <c r="R759" t="s">
        <v>6598</v>
      </c>
      <c r="W759" t="s">
        <v>6598</v>
      </c>
      <c r="X759" t="s">
        <v>234</v>
      </c>
      <c r="Y759" t="s">
        <v>117</v>
      </c>
      <c r="Z759" t="s">
        <v>73</v>
      </c>
      <c r="AA759" t="str">
        <f>"14220-2039"</f>
        <v>14220-2039</v>
      </c>
      <c r="AB759" t="s">
        <v>74</v>
      </c>
      <c r="AC759" t="s">
        <v>75</v>
      </c>
      <c r="AD759" t="s">
        <v>72</v>
      </c>
      <c r="AE759" t="s">
        <v>76</v>
      </c>
      <c r="AF759" t="s">
        <v>3974</v>
      </c>
      <c r="AG759" t="s">
        <v>77</v>
      </c>
    </row>
    <row r="760" spans="1:33" x14ac:dyDescent="0.25">
      <c r="A760" t="str">
        <f>"1700889573"</f>
        <v>1700889573</v>
      </c>
      <c r="B760" t="str">
        <f>"01843347"</f>
        <v>01843347</v>
      </c>
      <c r="C760" t="s">
        <v>6599</v>
      </c>
      <c r="D760" t="s">
        <v>6600</v>
      </c>
      <c r="E760" t="s">
        <v>6601</v>
      </c>
      <c r="G760" t="s">
        <v>6602</v>
      </c>
      <c r="H760" t="s">
        <v>6603</v>
      </c>
      <c r="J760" t="s">
        <v>6604</v>
      </c>
      <c r="L760" t="s">
        <v>80</v>
      </c>
      <c r="M760" t="s">
        <v>72</v>
      </c>
      <c r="R760" t="s">
        <v>6605</v>
      </c>
      <c r="W760" t="s">
        <v>6601</v>
      </c>
      <c r="X760" t="s">
        <v>6038</v>
      </c>
      <c r="Y760" t="s">
        <v>247</v>
      </c>
      <c r="Z760" t="s">
        <v>73</v>
      </c>
      <c r="AA760" t="str">
        <f>"14227-2379"</f>
        <v>14227-2379</v>
      </c>
      <c r="AB760" t="s">
        <v>74</v>
      </c>
      <c r="AC760" t="s">
        <v>75</v>
      </c>
      <c r="AD760" t="s">
        <v>72</v>
      </c>
      <c r="AE760" t="s">
        <v>76</v>
      </c>
      <c r="AF760" t="s">
        <v>3961</v>
      </c>
      <c r="AG760" t="s">
        <v>77</v>
      </c>
    </row>
    <row r="761" spans="1:33" x14ac:dyDescent="0.25">
      <c r="A761" t="str">
        <f>"1558315879"</f>
        <v>1558315879</v>
      </c>
      <c r="B761" t="str">
        <f>"00594876"</f>
        <v>00594876</v>
      </c>
      <c r="C761" t="s">
        <v>6606</v>
      </c>
      <c r="D761" t="s">
        <v>1456</v>
      </c>
      <c r="E761" t="s">
        <v>1457</v>
      </c>
      <c r="G761" t="s">
        <v>6606</v>
      </c>
      <c r="J761" t="s">
        <v>6607</v>
      </c>
      <c r="L761" t="s">
        <v>96</v>
      </c>
      <c r="M761" t="s">
        <v>72</v>
      </c>
      <c r="R761" t="s">
        <v>1459</v>
      </c>
      <c r="W761" t="s">
        <v>1457</v>
      </c>
      <c r="X761" t="s">
        <v>258</v>
      </c>
      <c r="Y761" t="s">
        <v>240</v>
      </c>
      <c r="Z761" t="s">
        <v>73</v>
      </c>
      <c r="AA761" t="str">
        <f>"14094-3201"</f>
        <v>14094-3201</v>
      </c>
      <c r="AB761" t="s">
        <v>74</v>
      </c>
      <c r="AC761" t="s">
        <v>75</v>
      </c>
      <c r="AD761" t="s">
        <v>72</v>
      </c>
      <c r="AE761" t="s">
        <v>76</v>
      </c>
      <c r="AF761" t="s">
        <v>3974</v>
      </c>
      <c r="AG761" t="s">
        <v>77</v>
      </c>
    </row>
    <row r="762" spans="1:33" x14ac:dyDescent="0.25">
      <c r="A762" t="str">
        <f>"1720073539"</f>
        <v>1720073539</v>
      </c>
      <c r="B762" t="str">
        <f>"02415507"</f>
        <v>02415507</v>
      </c>
      <c r="C762" t="s">
        <v>6608</v>
      </c>
      <c r="D762" t="s">
        <v>6609</v>
      </c>
      <c r="E762" t="s">
        <v>6610</v>
      </c>
      <c r="G762" t="s">
        <v>6611</v>
      </c>
      <c r="H762" t="s">
        <v>6612</v>
      </c>
      <c r="J762" t="s">
        <v>6613</v>
      </c>
      <c r="L762" t="s">
        <v>97</v>
      </c>
      <c r="M762" t="s">
        <v>81</v>
      </c>
      <c r="R762" t="s">
        <v>6614</v>
      </c>
      <c r="W762" t="s">
        <v>6610</v>
      </c>
      <c r="X762" t="s">
        <v>6615</v>
      </c>
      <c r="Y762" t="s">
        <v>188</v>
      </c>
      <c r="Z762" t="s">
        <v>73</v>
      </c>
      <c r="AA762" t="str">
        <f>"14092-1942"</f>
        <v>14092-1942</v>
      </c>
      <c r="AB762" t="s">
        <v>98</v>
      </c>
      <c r="AC762" t="s">
        <v>75</v>
      </c>
      <c r="AD762" t="s">
        <v>72</v>
      </c>
      <c r="AE762" t="s">
        <v>76</v>
      </c>
      <c r="AF762" t="s">
        <v>4078</v>
      </c>
      <c r="AG762" t="s">
        <v>77</v>
      </c>
    </row>
    <row r="763" spans="1:33" x14ac:dyDescent="0.25">
      <c r="A763" t="str">
        <f>"1457358780"</f>
        <v>1457358780</v>
      </c>
      <c r="B763" t="str">
        <f>"01194421"</f>
        <v>01194421</v>
      </c>
      <c r="C763" t="s">
        <v>6616</v>
      </c>
      <c r="D763" t="s">
        <v>1117</v>
      </c>
      <c r="E763" t="s">
        <v>1118</v>
      </c>
      <c r="G763" t="s">
        <v>5010</v>
      </c>
      <c r="H763" t="s">
        <v>1119</v>
      </c>
      <c r="J763" t="s">
        <v>5011</v>
      </c>
      <c r="L763" t="s">
        <v>79</v>
      </c>
      <c r="M763" t="s">
        <v>72</v>
      </c>
      <c r="R763" t="s">
        <v>1120</v>
      </c>
      <c r="W763" t="s">
        <v>1118</v>
      </c>
      <c r="Y763" t="s">
        <v>117</v>
      </c>
      <c r="Z763" t="s">
        <v>73</v>
      </c>
      <c r="AA763" t="str">
        <f>"14209-1120"</f>
        <v>14209-1120</v>
      </c>
      <c r="AB763" t="s">
        <v>74</v>
      </c>
      <c r="AC763" t="s">
        <v>75</v>
      </c>
      <c r="AD763" t="s">
        <v>72</v>
      </c>
      <c r="AE763" t="s">
        <v>76</v>
      </c>
      <c r="AF763" t="s">
        <v>3974</v>
      </c>
      <c r="AG763" t="s">
        <v>77</v>
      </c>
    </row>
    <row r="764" spans="1:33" x14ac:dyDescent="0.25">
      <c r="A764" t="str">
        <f>"1417933706"</f>
        <v>1417933706</v>
      </c>
      <c r="B764" t="str">
        <f>"01123633"</f>
        <v>01123633</v>
      </c>
      <c r="C764" t="s">
        <v>6617</v>
      </c>
      <c r="D764" t="s">
        <v>1605</v>
      </c>
      <c r="E764" t="s">
        <v>1606</v>
      </c>
      <c r="G764" t="s">
        <v>6512</v>
      </c>
      <c r="H764" t="s">
        <v>654</v>
      </c>
      <c r="J764" t="s">
        <v>6514</v>
      </c>
      <c r="L764" t="s">
        <v>79</v>
      </c>
      <c r="M764" t="s">
        <v>72</v>
      </c>
      <c r="R764" t="s">
        <v>1607</v>
      </c>
      <c r="W764" t="s">
        <v>1606</v>
      </c>
      <c r="X764" t="s">
        <v>246</v>
      </c>
      <c r="Y764" t="s">
        <v>247</v>
      </c>
      <c r="Z764" t="s">
        <v>73</v>
      </c>
      <c r="AA764" t="str">
        <f>"14225-4018"</f>
        <v>14225-4018</v>
      </c>
      <c r="AB764" t="s">
        <v>74</v>
      </c>
      <c r="AC764" t="s">
        <v>75</v>
      </c>
      <c r="AD764" t="s">
        <v>72</v>
      </c>
      <c r="AE764" t="s">
        <v>76</v>
      </c>
      <c r="AF764" t="s">
        <v>3974</v>
      </c>
      <c r="AG764" t="s">
        <v>77</v>
      </c>
    </row>
    <row r="765" spans="1:33" x14ac:dyDescent="0.25">
      <c r="A765" t="str">
        <f>"1740381235"</f>
        <v>1740381235</v>
      </c>
      <c r="B765" t="str">
        <f>"01643810"</f>
        <v>01643810</v>
      </c>
      <c r="C765" t="s">
        <v>6618</v>
      </c>
      <c r="D765" t="s">
        <v>6619</v>
      </c>
      <c r="E765" t="s">
        <v>6620</v>
      </c>
      <c r="G765" t="s">
        <v>6618</v>
      </c>
      <c r="H765" t="s">
        <v>1458</v>
      </c>
      <c r="J765" t="s">
        <v>6621</v>
      </c>
      <c r="L765" t="s">
        <v>96</v>
      </c>
      <c r="M765" t="s">
        <v>72</v>
      </c>
      <c r="R765" t="s">
        <v>6622</v>
      </c>
      <c r="W765" t="s">
        <v>6620</v>
      </c>
      <c r="X765" t="s">
        <v>3757</v>
      </c>
      <c r="Y765" t="s">
        <v>228</v>
      </c>
      <c r="Z765" t="s">
        <v>73</v>
      </c>
      <c r="AA765" t="str">
        <f>"14226-2544"</f>
        <v>14226-2544</v>
      </c>
      <c r="AB765" t="s">
        <v>74</v>
      </c>
      <c r="AC765" t="s">
        <v>75</v>
      </c>
      <c r="AD765" t="s">
        <v>72</v>
      </c>
      <c r="AE765" t="s">
        <v>76</v>
      </c>
      <c r="AF765" t="s">
        <v>3974</v>
      </c>
      <c r="AG765" t="s">
        <v>77</v>
      </c>
    </row>
    <row r="766" spans="1:33" x14ac:dyDescent="0.25">
      <c r="A766" t="str">
        <f>"1437361037"</f>
        <v>1437361037</v>
      </c>
      <c r="B766" t="str">
        <f>"02974578"</f>
        <v>02974578</v>
      </c>
      <c r="C766" t="s">
        <v>6623</v>
      </c>
      <c r="D766" t="s">
        <v>1243</v>
      </c>
      <c r="E766" t="s">
        <v>1244</v>
      </c>
      <c r="G766" t="s">
        <v>6624</v>
      </c>
      <c r="H766" t="s">
        <v>1863</v>
      </c>
      <c r="J766" t="s">
        <v>6625</v>
      </c>
      <c r="L766" t="s">
        <v>79</v>
      </c>
      <c r="M766" t="s">
        <v>72</v>
      </c>
      <c r="R766" t="s">
        <v>1245</v>
      </c>
      <c r="W766" t="s">
        <v>1244</v>
      </c>
      <c r="X766" t="s">
        <v>204</v>
      </c>
      <c r="Y766" t="s">
        <v>117</v>
      </c>
      <c r="Z766" t="s">
        <v>73</v>
      </c>
      <c r="AA766" t="str">
        <f>"14263-0001"</f>
        <v>14263-0001</v>
      </c>
      <c r="AB766" t="s">
        <v>74</v>
      </c>
      <c r="AC766" t="s">
        <v>75</v>
      </c>
      <c r="AD766" t="s">
        <v>72</v>
      </c>
      <c r="AE766" t="s">
        <v>76</v>
      </c>
      <c r="AF766" t="s">
        <v>3974</v>
      </c>
      <c r="AG766" t="s">
        <v>77</v>
      </c>
    </row>
    <row r="767" spans="1:33" x14ac:dyDescent="0.25">
      <c r="A767" t="str">
        <f>"1205833548"</f>
        <v>1205833548</v>
      </c>
      <c r="B767" t="str">
        <f>"00611445"</f>
        <v>00611445</v>
      </c>
      <c r="C767" t="s">
        <v>6626</v>
      </c>
      <c r="D767" t="s">
        <v>6627</v>
      </c>
      <c r="E767" t="s">
        <v>6628</v>
      </c>
      <c r="G767" t="s">
        <v>6626</v>
      </c>
      <c r="L767" t="s">
        <v>79</v>
      </c>
      <c r="M767" t="s">
        <v>72</v>
      </c>
      <c r="R767" t="s">
        <v>6629</v>
      </c>
      <c r="W767" t="s">
        <v>6628</v>
      </c>
      <c r="X767" t="s">
        <v>6630</v>
      </c>
      <c r="Y767" t="s">
        <v>240</v>
      </c>
      <c r="Z767" t="s">
        <v>73</v>
      </c>
      <c r="AA767" t="str">
        <f>"14094-5369"</f>
        <v>14094-5369</v>
      </c>
      <c r="AB767" t="s">
        <v>74</v>
      </c>
      <c r="AC767" t="s">
        <v>75</v>
      </c>
      <c r="AD767" t="s">
        <v>72</v>
      </c>
      <c r="AE767" t="s">
        <v>76</v>
      </c>
      <c r="AF767" t="s">
        <v>3974</v>
      </c>
      <c r="AG767" t="s">
        <v>77</v>
      </c>
    </row>
    <row r="768" spans="1:33" x14ac:dyDescent="0.25">
      <c r="A768" t="str">
        <f>"1356539415"</f>
        <v>1356539415</v>
      </c>
      <c r="B768" t="str">
        <f>"03156163"</f>
        <v>03156163</v>
      </c>
      <c r="C768" t="s">
        <v>6631</v>
      </c>
      <c r="D768" t="s">
        <v>2654</v>
      </c>
      <c r="E768" t="s">
        <v>2655</v>
      </c>
      <c r="G768" t="s">
        <v>6631</v>
      </c>
      <c r="L768" t="s">
        <v>79</v>
      </c>
      <c r="M768" t="s">
        <v>72</v>
      </c>
      <c r="R768" t="s">
        <v>2656</v>
      </c>
      <c r="W768" t="s">
        <v>2655</v>
      </c>
      <c r="X768" t="s">
        <v>2657</v>
      </c>
      <c r="Y768" t="s">
        <v>240</v>
      </c>
      <c r="Z768" t="s">
        <v>73</v>
      </c>
      <c r="AA768" t="str">
        <f>"14094-5226"</f>
        <v>14094-5226</v>
      </c>
      <c r="AB768" t="s">
        <v>74</v>
      </c>
      <c r="AC768" t="s">
        <v>75</v>
      </c>
      <c r="AD768" t="s">
        <v>72</v>
      </c>
      <c r="AE768" t="s">
        <v>76</v>
      </c>
      <c r="AF768" t="s">
        <v>3974</v>
      </c>
      <c r="AG768" t="s">
        <v>77</v>
      </c>
    </row>
    <row r="769" spans="1:33" x14ac:dyDescent="0.25">
      <c r="A769" t="str">
        <f>"1417112947"</f>
        <v>1417112947</v>
      </c>
      <c r="B769" t="str">
        <f>"03921684"</f>
        <v>03921684</v>
      </c>
      <c r="C769" t="s">
        <v>6632</v>
      </c>
      <c r="D769" t="s">
        <v>6633</v>
      </c>
      <c r="E769" t="s">
        <v>6634</v>
      </c>
      <c r="G769" t="s">
        <v>6632</v>
      </c>
      <c r="L769" t="s">
        <v>79</v>
      </c>
      <c r="M769" t="s">
        <v>72</v>
      </c>
      <c r="R769" t="s">
        <v>6635</v>
      </c>
      <c r="W769" t="s">
        <v>6634</v>
      </c>
      <c r="X769" t="s">
        <v>187</v>
      </c>
      <c r="Y769" t="s">
        <v>188</v>
      </c>
      <c r="Z769" t="s">
        <v>73</v>
      </c>
      <c r="AA769" t="str">
        <f>"14092-1903"</f>
        <v>14092-1903</v>
      </c>
      <c r="AB769" t="s">
        <v>74</v>
      </c>
      <c r="AC769" t="s">
        <v>75</v>
      </c>
      <c r="AD769" t="s">
        <v>72</v>
      </c>
      <c r="AE769" t="s">
        <v>76</v>
      </c>
      <c r="AF769" t="s">
        <v>3974</v>
      </c>
      <c r="AG769" t="s">
        <v>77</v>
      </c>
    </row>
    <row r="770" spans="1:33" x14ac:dyDescent="0.25">
      <c r="A770" t="str">
        <f>"1891998563"</f>
        <v>1891998563</v>
      </c>
      <c r="B770" t="str">
        <f>"03273989"</f>
        <v>03273989</v>
      </c>
      <c r="C770" t="s">
        <v>6636</v>
      </c>
      <c r="D770" t="s">
        <v>3676</v>
      </c>
      <c r="E770" t="s">
        <v>3677</v>
      </c>
      <c r="G770" t="s">
        <v>5624</v>
      </c>
      <c r="H770" t="s">
        <v>841</v>
      </c>
      <c r="J770" t="s">
        <v>5625</v>
      </c>
      <c r="L770" t="s">
        <v>71</v>
      </c>
      <c r="M770" t="s">
        <v>81</v>
      </c>
      <c r="R770" t="s">
        <v>3678</v>
      </c>
      <c r="W770" t="s">
        <v>3677</v>
      </c>
      <c r="X770" t="s">
        <v>258</v>
      </c>
      <c r="Y770" t="s">
        <v>240</v>
      </c>
      <c r="Z770" t="s">
        <v>73</v>
      </c>
      <c r="AA770" t="str">
        <f>"14094-3201"</f>
        <v>14094-3201</v>
      </c>
      <c r="AB770" t="s">
        <v>74</v>
      </c>
      <c r="AC770" t="s">
        <v>75</v>
      </c>
      <c r="AD770" t="s">
        <v>72</v>
      </c>
      <c r="AE770" t="s">
        <v>76</v>
      </c>
      <c r="AF770" t="s">
        <v>3974</v>
      </c>
      <c r="AG770" t="s">
        <v>77</v>
      </c>
    </row>
    <row r="771" spans="1:33" x14ac:dyDescent="0.25">
      <c r="A771" t="str">
        <f>"1083711170"</f>
        <v>1083711170</v>
      </c>
      <c r="B771" t="str">
        <f>"02429472"</f>
        <v>02429472</v>
      </c>
      <c r="C771" t="s">
        <v>6637</v>
      </c>
      <c r="D771" t="s">
        <v>3767</v>
      </c>
      <c r="E771" t="s">
        <v>3768</v>
      </c>
      <c r="G771" t="s">
        <v>6638</v>
      </c>
      <c r="H771" t="s">
        <v>6639</v>
      </c>
      <c r="J771" t="s">
        <v>6640</v>
      </c>
      <c r="L771" t="s">
        <v>79</v>
      </c>
      <c r="M771" t="s">
        <v>72</v>
      </c>
      <c r="R771" t="s">
        <v>3769</v>
      </c>
      <c r="W771" t="s">
        <v>3768</v>
      </c>
      <c r="X771" t="s">
        <v>3398</v>
      </c>
      <c r="Y771" t="s">
        <v>326</v>
      </c>
      <c r="Z771" t="s">
        <v>73</v>
      </c>
      <c r="AA771" t="str">
        <f>"14127-1740"</f>
        <v>14127-1740</v>
      </c>
      <c r="AB771" t="s">
        <v>74</v>
      </c>
      <c r="AC771" t="s">
        <v>75</v>
      </c>
      <c r="AD771" t="s">
        <v>72</v>
      </c>
      <c r="AE771" t="s">
        <v>76</v>
      </c>
      <c r="AF771" t="s">
        <v>3974</v>
      </c>
      <c r="AG771" t="s">
        <v>77</v>
      </c>
    </row>
    <row r="772" spans="1:33" x14ac:dyDescent="0.25">
      <c r="A772" t="str">
        <f>"1962483156"</f>
        <v>1962483156</v>
      </c>
      <c r="B772" t="str">
        <f>"00754201"</f>
        <v>00754201</v>
      </c>
      <c r="C772" t="s">
        <v>6641</v>
      </c>
      <c r="D772" t="s">
        <v>6642</v>
      </c>
      <c r="E772" t="s">
        <v>6643</v>
      </c>
      <c r="G772" t="s">
        <v>4739</v>
      </c>
      <c r="H772" t="s">
        <v>2761</v>
      </c>
      <c r="J772" t="s">
        <v>4740</v>
      </c>
      <c r="L772" t="s">
        <v>80</v>
      </c>
      <c r="M772" t="s">
        <v>72</v>
      </c>
      <c r="R772" t="s">
        <v>6644</v>
      </c>
      <c r="W772" t="s">
        <v>6643</v>
      </c>
      <c r="X772" t="s">
        <v>3776</v>
      </c>
      <c r="Y772" t="s">
        <v>237</v>
      </c>
      <c r="Z772" t="s">
        <v>73</v>
      </c>
      <c r="AA772" t="str">
        <f>"14224-3445"</f>
        <v>14224-3445</v>
      </c>
      <c r="AB772" t="s">
        <v>74</v>
      </c>
      <c r="AC772" t="s">
        <v>75</v>
      </c>
      <c r="AD772" t="s">
        <v>72</v>
      </c>
      <c r="AE772" t="s">
        <v>76</v>
      </c>
      <c r="AF772" t="s">
        <v>3961</v>
      </c>
      <c r="AG772" t="s">
        <v>77</v>
      </c>
    </row>
    <row r="773" spans="1:33" x14ac:dyDescent="0.25">
      <c r="A773" t="str">
        <f>"1790775575"</f>
        <v>1790775575</v>
      </c>
      <c r="B773" t="str">
        <f>"01091661"</f>
        <v>01091661</v>
      </c>
      <c r="C773" t="s">
        <v>6645</v>
      </c>
      <c r="D773" t="s">
        <v>6646</v>
      </c>
      <c r="E773" t="s">
        <v>6647</v>
      </c>
      <c r="G773" t="s">
        <v>6648</v>
      </c>
      <c r="H773" t="s">
        <v>1183</v>
      </c>
      <c r="J773" t="s">
        <v>6649</v>
      </c>
      <c r="L773" t="s">
        <v>80</v>
      </c>
      <c r="M773" t="s">
        <v>72</v>
      </c>
      <c r="R773" t="s">
        <v>6650</v>
      </c>
      <c r="W773" t="s">
        <v>6651</v>
      </c>
      <c r="X773" t="s">
        <v>6652</v>
      </c>
      <c r="Y773" t="s">
        <v>117</v>
      </c>
      <c r="Z773" t="s">
        <v>73</v>
      </c>
      <c r="AA773" t="str">
        <f>"14203-1154"</f>
        <v>14203-1154</v>
      </c>
      <c r="AB773" t="s">
        <v>74</v>
      </c>
      <c r="AC773" t="s">
        <v>75</v>
      </c>
      <c r="AD773" t="s">
        <v>72</v>
      </c>
      <c r="AE773" t="s">
        <v>76</v>
      </c>
      <c r="AF773" t="s">
        <v>3961</v>
      </c>
      <c r="AG773" t="s">
        <v>77</v>
      </c>
    </row>
    <row r="774" spans="1:33" x14ac:dyDescent="0.25">
      <c r="A774" t="str">
        <f>"1902842040"</f>
        <v>1902842040</v>
      </c>
      <c r="B774" t="str">
        <f>"01842795"</f>
        <v>01842795</v>
      </c>
      <c r="C774" t="s">
        <v>6653</v>
      </c>
      <c r="D774" t="s">
        <v>6654</v>
      </c>
      <c r="E774" t="s">
        <v>6655</v>
      </c>
      <c r="G774" t="s">
        <v>6656</v>
      </c>
      <c r="H774" t="s">
        <v>6657</v>
      </c>
      <c r="J774" t="s">
        <v>6658</v>
      </c>
      <c r="L774" t="s">
        <v>84</v>
      </c>
      <c r="M774" t="s">
        <v>72</v>
      </c>
      <c r="R774" t="s">
        <v>6659</v>
      </c>
      <c r="W774" t="s">
        <v>6660</v>
      </c>
      <c r="X774" t="s">
        <v>6661</v>
      </c>
      <c r="Y774" t="s">
        <v>117</v>
      </c>
      <c r="Z774" t="s">
        <v>73</v>
      </c>
      <c r="AA774" t="str">
        <f>"14220-2039"</f>
        <v>14220-2039</v>
      </c>
      <c r="AB774" t="s">
        <v>74</v>
      </c>
      <c r="AC774" t="s">
        <v>75</v>
      </c>
      <c r="AD774" t="s">
        <v>72</v>
      </c>
      <c r="AE774" t="s">
        <v>76</v>
      </c>
      <c r="AF774" t="s">
        <v>3974</v>
      </c>
      <c r="AG774" t="s">
        <v>77</v>
      </c>
    </row>
    <row r="775" spans="1:33" x14ac:dyDescent="0.25">
      <c r="A775" t="str">
        <f>"1912938390"</f>
        <v>1912938390</v>
      </c>
      <c r="B775" t="str">
        <f>"02300769"</f>
        <v>02300769</v>
      </c>
      <c r="C775" t="s">
        <v>6662</v>
      </c>
      <c r="D775" t="s">
        <v>6663</v>
      </c>
      <c r="E775" t="s">
        <v>6664</v>
      </c>
      <c r="G775" t="s">
        <v>6662</v>
      </c>
      <c r="J775" t="s">
        <v>6665</v>
      </c>
      <c r="L775" t="s">
        <v>79</v>
      </c>
      <c r="M775" t="s">
        <v>72</v>
      </c>
      <c r="R775" t="s">
        <v>6666</v>
      </c>
      <c r="W775" t="s">
        <v>6664</v>
      </c>
      <c r="X775" t="s">
        <v>1146</v>
      </c>
      <c r="Y775" t="s">
        <v>436</v>
      </c>
      <c r="Z775" t="s">
        <v>73</v>
      </c>
      <c r="AA775" t="str">
        <f>"14217-1304"</f>
        <v>14217-1304</v>
      </c>
      <c r="AB775" t="s">
        <v>74</v>
      </c>
      <c r="AC775" t="s">
        <v>75</v>
      </c>
      <c r="AD775" t="s">
        <v>72</v>
      </c>
      <c r="AE775" t="s">
        <v>76</v>
      </c>
      <c r="AF775" t="s">
        <v>3974</v>
      </c>
      <c r="AG775" t="s">
        <v>77</v>
      </c>
    </row>
    <row r="776" spans="1:33" x14ac:dyDescent="0.25">
      <c r="A776" t="str">
        <f>"1457355364"</f>
        <v>1457355364</v>
      </c>
      <c r="B776" t="str">
        <f>"01843434"</f>
        <v>01843434</v>
      </c>
      <c r="C776" t="s">
        <v>6667</v>
      </c>
      <c r="D776" t="s">
        <v>1112</v>
      </c>
      <c r="E776" t="s">
        <v>1113</v>
      </c>
      <c r="G776" t="s">
        <v>6164</v>
      </c>
      <c r="H776" t="s">
        <v>6165</v>
      </c>
      <c r="J776" t="s">
        <v>6166</v>
      </c>
      <c r="L776" t="s">
        <v>79</v>
      </c>
      <c r="M776" t="s">
        <v>72</v>
      </c>
      <c r="R776" t="s">
        <v>1113</v>
      </c>
      <c r="W776" t="s">
        <v>1115</v>
      </c>
      <c r="X776" t="s">
        <v>1116</v>
      </c>
      <c r="Y776" t="s">
        <v>117</v>
      </c>
      <c r="Z776" t="s">
        <v>73</v>
      </c>
      <c r="AA776" t="str">
        <f>"14220-2039"</f>
        <v>14220-2039</v>
      </c>
      <c r="AB776" t="s">
        <v>74</v>
      </c>
      <c r="AC776" t="s">
        <v>75</v>
      </c>
      <c r="AD776" t="s">
        <v>72</v>
      </c>
      <c r="AE776" t="s">
        <v>76</v>
      </c>
      <c r="AF776" t="s">
        <v>3974</v>
      </c>
      <c r="AG776" t="s">
        <v>77</v>
      </c>
    </row>
    <row r="777" spans="1:33" x14ac:dyDescent="0.25">
      <c r="A777" t="str">
        <f>"1194799494"</f>
        <v>1194799494</v>
      </c>
      <c r="B777" t="str">
        <f>"01787315"</f>
        <v>01787315</v>
      </c>
      <c r="C777" t="s">
        <v>6668</v>
      </c>
      <c r="D777" t="s">
        <v>6669</v>
      </c>
      <c r="E777" t="s">
        <v>6670</v>
      </c>
      <c r="G777" t="s">
        <v>4811</v>
      </c>
      <c r="H777" t="s">
        <v>4812</v>
      </c>
      <c r="J777" t="s">
        <v>4813</v>
      </c>
      <c r="L777" t="s">
        <v>80</v>
      </c>
      <c r="M777" t="s">
        <v>72</v>
      </c>
      <c r="R777" t="s">
        <v>6671</v>
      </c>
      <c r="W777" t="s">
        <v>6672</v>
      </c>
      <c r="X777" t="s">
        <v>278</v>
      </c>
      <c r="Y777" t="s">
        <v>1093</v>
      </c>
      <c r="Z777" t="s">
        <v>73</v>
      </c>
      <c r="AA777" t="str">
        <f>"14052-2540"</f>
        <v>14052-2540</v>
      </c>
      <c r="AB777" t="s">
        <v>74</v>
      </c>
      <c r="AC777" t="s">
        <v>75</v>
      </c>
      <c r="AD777" t="s">
        <v>72</v>
      </c>
      <c r="AE777" t="s">
        <v>76</v>
      </c>
      <c r="AF777" t="s">
        <v>3961</v>
      </c>
      <c r="AG777" t="s">
        <v>77</v>
      </c>
    </row>
    <row r="778" spans="1:33" x14ac:dyDescent="0.25">
      <c r="A778" t="str">
        <f>"1528042835"</f>
        <v>1528042835</v>
      </c>
      <c r="B778" t="str">
        <f>"00844688"</f>
        <v>00844688</v>
      </c>
      <c r="C778" t="s">
        <v>6673</v>
      </c>
      <c r="D778" t="s">
        <v>1224</v>
      </c>
      <c r="E778" t="s">
        <v>1225</v>
      </c>
      <c r="G778" t="s">
        <v>5431</v>
      </c>
      <c r="H778" t="s">
        <v>1226</v>
      </c>
      <c r="J778" t="s">
        <v>6211</v>
      </c>
      <c r="L778" t="s">
        <v>79</v>
      </c>
      <c r="M778" t="s">
        <v>72</v>
      </c>
      <c r="R778" t="s">
        <v>1227</v>
      </c>
      <c r="W778" t="s">
        <v>1225</v>
      </c>
      <c r="X778" t="s">
        <v>295</v>
      </c>
      <c r="Y778" t="s">
        <v>117</v>
      </c>
      <c r="Z778" t="s">
        <v>73</v>
      </c>
      <c r="AA778" t="str">
        <f>"14215-3021"</f>
        <v>14215-3021</v>
      </c>
      <c r="AB778" t="s">
        <v>74</v>
      </c>
      <c r="AC778" t="s">
        <v>75</v>
      </c>
      <c r="AD778" t="s">
        <v>72</v>
      </c>
      <c r="AE778" t="s">
        <v>76</v>
      </c>
      <c r="AF778" t="s">
        <v>3974</v>
      </c>
      <c r="AG778" t="s">
        <v>77</v>
      </c>
    </row>
    <row r="779" spans="1:33" x14ac:dyDescent="0.25">
      <c r="A779" t="str">
        <f>"1083638027"</f>
        <v>1083638027</v>
      </c>
      <c r="B779" t="str">
        <f>"01538958"</f>
        <v>01538958</v>
      </c>
      <c r="C779" t="s">
        <v>6674</v>
      </c>
      <c r="D779" t="s">
        <v>6675</v>
      </c>
      <c r="E779" t="s">
        <v>6676</v>
      </c>
      <c r="G779" t="s">
        <v>4647</v>
      </c>
      <c r="H779" t="s">
        <v>2062</v>
      </c>
      <c r="J779" t="s">
        <v>4648</v>
      </c>
      <c r="L779" t="s">
        <v>80</v>
      </c>
      <c r="M779" t="s">
        <v>72</v>
      </c>
      <c r="R779" t="s">
        <v>6677</v>
      </c>
      <c r="W779" t="s">
        <v>6676</v>
      </c>
      <c r="X779" t="s">
        <v>4001</v>
      </c>
      <c r="Y779" t="s">
        <v>365</v>
      </c>
      <c r="Z779" t="s">
        <v>73</v>
      </c>
      <c r="AA779" t="str">
        <f>"14150-6618"</f>
        <v>14150-6618</v>
      </c>
      <c r="AB779" t="s">
        <v>74</v>
      </c>
      <c r="AC779" t="s">
        <v>75</v>
      </c>
      <c r="AD779" t="s">
        <v>72</v>
      </c>
      <c r="AE779" t="s">
        <v>76</v>
      </c>
      <c r="AF779" t="s">
        <v>3961</v>
      </c>
      <c r="AG779" t="s">
        <v>77</v>
      </c>
    </row>
    <row r="780" spans="1:33" x14ac:dyDescent="0.25">
      <c r="A780" t="str">
        <f>"1386636389"</f>
        <v>1386636389</v>
      </c>
      <c r="B780" t="str">
        <f>"02282846"</f>
        <v>02282846</v>
      </c>
      <c r="C780" t="s">
        <v>6678</v>
      </c>
      <c r="D780" t="s">
        <v>1309</v>
      </c>
      <c r="E780" t="s">
        <v>1310</v>
      </c>
      <c r="G780" t="s">
        <v>6679</v>
      </c>
      <c r="H780" t="s">
        <v>1311</v>
      </c>
      <c r="J780" t="s">
        <v>6680</v>
      </c>
      <c r="L780" t="s">
        <v>79</v>
      </c>
      <c r="M780" t="s">
        <v>72</v>
      </c>
      <c r="R780" t="s">
        <v>1312</v>
      </c>
      <c r="W780" t="s">
        <v>1310</v>
      </c>
      <c r="X780" t="s">
        <v>1313</v>
      </c>
      <c r="Y780" t="s">
        <v>221</v>
      </c>
      <c r="Z780" t="s">
        <v>73</v>
      </c>
      <c r="AA780" t="str">
        <f>"14221-4641"</f>
        <v>14221-4641</v>
      </c>
      <c r="AB780" t="s">
        <v>74</v>
      </c>
      <c r="AC780" t="s">
        <v>75</v>
      </c>
      <c r="AD780" t="s">
        <v>72</v>
      </c>
      <c r="AE780" t="s">
        <v>76</v>
      </c>
      <c r="AF780" t="s">
        <v>3974</v>
      </c>
      <c r="AG780" t="s">
        <v>77</v>
      </c>
    </row>
    <row r="781" spans="1:33" x14ac:dyDescent="0.25">
      <c r="A781" t="str">
        <f>"1053370908"</f>
        <v>1053370908</v>
      </c>
      <c r="B781" t="str">
        <f>"00693563"</f>
        <v>00693563</v>
      </c>
      <c r="C781" t="s">
        <v>6681</v>
      </c>
      <c r="D781" t="s">
        <v>6682</v>
      </c>
      <c r="E781" t="s">
        <v>6683</v>
      </c>
      <c r="G781" t="s">
        <v>6681</v>
      </c>
      <c r="H781" t="s">
        <v>2321</v>
      </c>
      <c r="J781" t="s">
        <v>6684</v>
      </c>
      <c r="L781" t="s">
        <v>80</v>
      </c>
      <c r="M781" t="s">
        <v>72</v>
      </c>
      <c r="R781" t="s">
        <v>6685</v>
      </c>
      <c r="W781" t="s">
        <v>6686</v>
      </c>
      <c r="X781" t="s">
        <v>435</v>
      </c>
      <c r="Y781" t="s">
        <v>436</v>
      </c>
      <c r="Z781" t="s">
        <v>73</v>
      </c>
      <c r="AA781" t="str">
        <f>"14217-1390"</f>
        <v>14217-1390</v>
      </c>
      <c r="AB781" t="s">
        <v>74</v>
      </c>
      <c r="AC781" t="s">
        <v>75</v>
      </c>
      <c r="AD781" t="s">
        <v>72</v>
      </c>
      <c r="AE781" t="s">
        <v>76</v>
      </c>
      <c r="AF781" t="s">
        <v>4431</v>
      </c>
      <c r="AG781" t="s">
        <v>77</v>
      </c>
    </row>
    <row r="782" spans="1:33" x14ac:dyDescent="0.25">
      <c r="A782" t="str">
        <f>"1427015221"</f>
        <v>1427015221</v>
      </c>
      <c r="B782" t="str">
        <f>"01842713"</f>
        <v>01842713</v>
      </c>
      <c r="C782" t="s">
        <v>6687</v>
      </c>
      <c r="D782" t="s">
        <v>6688</v>
      </c>
      <c r="E782" t="s">
        <v>6689</v>
      </c>
      <c r="G782" t="s">
        <v>5076</v>
      </c>
      <c r="H782" t="s">
        <v>5077</v>
      </c>
      <c r="J782" t="s">
        <v>5078</v>
      </c>
      <c r="L782" t="s">
        <v>79</v>
      </c>
      <c r="M782" t="s">
        <v>72</v>
      </c>
      <c r="R782" t="s">
        <v>6689</v>
      </c>
      <c r="W782" t="s">
        <v>6689</v>
      </c>
      <c r="X782" t="s">
        <v>6689</v>
      </c>
      <c r="Y782" t="s">
        <v>436</v>
      </c>
      <c r="Z782" t="s">
        <v>73</v>
      </c>
      <c r="AA782" t="str">
        <f>"14217-1304"</f>
        <v>14217-1304</v>
      </c>
      <c r="AB782" t="s">
        <v>74</v>
      </c>
      <c r="AC782" t="s">
        <v>75</v>
      </c>
      <c r="AD782" t="s">
        <v>72</v>
      </c>
      <c r="AE782" t="s">
        <v>76</v>
      </c>
      <c r="AF782" t="s">
        <v>3974</v>
      </c>
      <c r="AG782" t="s">
        <v>77</v>
      </c>
    </row>
    <row r="783" spans="1:33" x14ac:dyDescent="0.25">
      <c r="A783" t="str">
        <f>"1811926249"</f>
        <v>1811926249</v>
      </c>
      <c r="B783" t="str">
        <f>"01074693"</f>
        <v>01074693</v>
      </c>
      <c r="C783" t="s">
        <v>6690</v>
      </c>
      <c r="D783" t="s">
        <v>6691</v>
      </c>
      <c r="E783" t="s">
        <v>6692</v>
      </c>
      <c r="G783" t="s">
        <v>6693</v>
      </c>
      <c r="H783" t="s">
        <v>6694</v>
      </c>
      <c r="J783" t="s">
        <v>6695</v>
      </c>
      <c r="L783" t="s">
        <v>80</v>
      </c>
      <c r="M783" t="s">
        <v>72</v>
      </c>
      <c r="R783" t="s">
        <v>6696</v>
      </c>
      <c r="W783" t="s">
        <v>6692</v>
      </c>
      <c r="X783" t="s">
        <v>1468</v>
      </c>
      <c r="Y783" t="s">
        <v>1079</v>
      </c>
      <c r="Z783" t="s">
        <v>73</v>
      </c>
      <c r="AA783" t="str">
        <f>"14075-3738"</f>
        <v>14075-3738</v>
      </c>
      <c r="AB783" t="s">
        <v>74</v>
      </c>
      <c r="AC783" t="s">
        <v>75</v>
      </c>
      <c r="AD783" t="s">
        <v>72</v>
      </c>
      <c r="AE783" t="s">
        <v>76</v>
      </c>
      <c r="AF783" t="s">
        <v>3961</v>
      </c>
      <c r="AG783" t="s">
        <v>77</v>
      </c>
    </row>
    <row r="784" spans="1:33" x14ac:dyDescent="0.25">
      <c r="A784" t="str">
        <f>"1881699312"</f>
        <v>1881699312</v>
      </c>
      <c r="B784" t="str">
        <f>"01885152"</f>
        <v>01885152</v>
      </c>
      <c r="C784" t="s">
        <v>6697</v>
      </c>
      <c r="D784" t="s">
        <v>6698</v>
      </c>
      <c r="E784" t="s">
        <v>6699</v>
      </c>
      <c r="G784" t="s">
        <v>6700</v>
      </c>
      <c r="H784" t="s">
        <v>6701</v>
      </c>
      <c r="J784" t="s">
        <v>6702</v>
      </c>
      <c r="L784" t="s">
        <v>80</v>
      </c>
      <c r="M784" t="s">
        <v>72</v>
      </c>
      <c r="R784" t="s">
        <v>6703</v>
      </c>
      <c r="W784" t="s">
        <v>6699</v>
      </c>
      <c r="X784" t="s">
        <v>6699</v>
      </c>
      <c r="Y784" t="s">
        <v>326</v>
      </c>
      <c r="Z784" t="s">
        <v>73</v>
      </c>
      <c r="AA784" t="str">
        <f>"14127-1963"</f>
        <v>14127-1963</v>
      </c>
      <c r="AB784" t="s">
        <v>74</v>
      </c>
      <c r="AC784" t="s">
        <v>75</v>
      </c>
      <c r="AD784" t="s">
        <v>72</v>
      </c>
      <c r="AE784" t="s">
        <v>76</v>
      </c>
      <c r="AG784" t="s">
        <v>77</v>
      </c>
    </row>
    <row r="785" spans="1:33" x14ac:dyDescent="0.25">
      <c r="A785" t="str">
        <f>"1346240314"</f>
        <v>1346240314</v>
      </c>
      <c r="B785" t="str">
        <f>"01654631"</f>
        <v>01654631</v>
      </c>
      <c r="C785" t="s">
        <v>6704</v>
      </c>
      <c r="D785" t="s">
        <v>6705</v>
      </c>
      <c r="E785" t="s">
        <v>6706</v>
      </c>
      <c r="G785" t="s">
        <v>6707</v>
      </c>
      <c r="H785" t="s">
        <v>6708</v>
      </c>
      <c r="J785" t="s">
        <v>6709</v>
      </c>
      <c r="L785" t="s">
        <v>79</v>
      </c>
      <c r="M785" t="s">
        <v>72</v>
      </c>
      <c r="R785" t="s">
        <v>6710</v>
      </c>
      <c r="W785" t="s">
        <v>6706</v>
      </c>
      <c r="X785" t="s">
        <v>6711</v>
      </c>
      <c r="Y785" t="s">
        <v>240</v>
      </c>
      <c r="Z785" t="s">
        <v>73</v>
      </c>
      <c r="AA785" t="str">
        <f>"14094-9273"</f>
        <v>14094-9273</v>
      </c>
      <c r="AB785" t="s">
        <v>74</v>
      </c>
      <c r="AC785" t="s">
        <v>75</v>
      </c>
      <c r="AD785" t="s">
        <v>72</v>
      </c>
      <c r="AE785" t="s">
        <v>76</v>
      </c>
      <c r="AF785" t="s">
        <v>3974</v>
      </c>
      <c r="AG785" t="s">
        <v>77</v>
      </c>
    </row>
    <row r="786" spans="1:33" x14ac:dyDescent="0.25">
      <c r="A786" t="str">
        <f>"1033174958"</f>
        <v>1033174958</v>
      </c>
      <c r="B786" t="str">
        <f>"02334403"</f>
        <v>02334403</v>
      </c>
      <c r="C786" t="s">
        <v>6712</v>
      </c>
      <c r="D786" t="s">
        <v>2970</v>
      </c>
      <c r="E786" t="s">
        <v>2971</v>
      </c>
      <c r="G786" t="s">
        <v>6712</v>
      </c>
      <c r="H786" t="s">
        <v>2557</v>
      </c>
      <c r="J786" t="s">
        <v>6713</v>
      </c>
      <c r="L786" t="s">
        <v>80</v>
      </c>
      <c r="M786" t="s">
        <v>72</v>
      </c>
      <c r="R786" t="s">
        <v>2972</v>
      </c>
      <c r="W786" t="s">
        <v>2971</v>
      </c>
      <c r="X786" t="s">
        <v>210</v>
      </c>
      <c r="Y786" t="s">
        <v>117</v>
      </c>
      <c r="Z786" t="s">
        <v>73</v>
      </c>
      <c r="AA786" t="str">
        <f>"14228-2044"</f>
        <v>14228-2044</v>
      </c>
      <c r="AB786" t="s">
        <v>74</v>
      </c>
      <c r="AC786" t="s">
        <v>75</v>
      </c>
      <c r="AD786" t="s">
        <v>72</v>
      </c>
      <c r="AE786" t="s">
        <v>76</v>
      </c>
      <c r="AF786" t="s">
        <v>4431</v>
      </c>
      <c r="AG786" t="s">
        <v>77</v>
      </c>
    </row>
    <row r="787" spans="1:33" x14ac:dyDescent="0.25">
      <c r="A787" t="str">
        <f>"1619904612"</f>
        <v>1619904612</v>
      </c>
      <c r="B787" t="str">
        <f>"00705702"</f>
        <v>00705702</v>
      </c>
      <c r="C787" t="s">
        <v>6714</v>
      </c>
      <c r="D787" t="s">
        <v>1793</v>
      </c>
      <c r="E787" t="s">
        <v>1794</v>
      </c>
      <c r="G787" t="s">
        <v>3988</v>
      </c>
      <c r="H787" t="s">
        <v>1302</v>
      </c>
      <c r="J787" t="s">
        <v>3989</v>
      </c>
      <c r="L787" t="s">
        <v>79</v>
      </c>
      <c r="M787" t="s">
        <v>72</v>
      </c>
      <c r="R787" t="s">
        <v>179</v>
      </c>
      <c r="W787" t="s">
        <v>1795</v>
      </c>
      <c r="X787" t="s">
        <v>1529</v>
      </c>
      <c r="Y787" t="s">
        <v>221</v>
      </c>
      <c r="Z787" t="s">
        <v>73</v>
      </c>
      <c r="AA787" t="str">
        <f>"14221-7717"</f>
        <v>14221-7717</v>
      </c>
      <c r="AB787" t="s">
        <v>74</v>
      </c>
      <c r="AC787" t="s">
        <v>75</v>
      </c>
      <c r="AD787" t="s">
        <v>72</v>
      </c>
      <c r="AE787" t="s">
        <v>76</v>
      </c>
      <c r="AF787" t="s">
        <v>3974</v>
      </c>
      <c r="AG787" t="s">
        <v>77</v>
      </c>
    </row>
    <row r="788" spans="1:33" x14ac:dyDescent="0.25">
      <c r="A788" t="str">
        <f>"1235196189"</f>
        <v>1235196189</v>
      </c>
      <c r="B788" t="str">
        <f>"01503039"</f>
        <v>01503039</v>
      </c>
      <c r="C788" t="s">
        <v>6715</v>
      </c>
      <c r="D788" t="s">
        <v>2721</v>
      </c>
      <c r="E788" t="s">
        <v>2722</v>
      </c>
      <c r="G788" t="s">
        <v>6715</v>
      </c>
      <c r="H788" t="s">
        <v>1131</v>
      </c>
      <c r="J788" t="s">
        <v>6716</v>
      </c>
      <c r="L788" t="s">
        <v>79</v>
      </c>
      <c r="M788" t="s">
        <v>72</v>
      </c>
      <c r="R788" t="s">
        <v>2723</v>
      </c>
      <c r="W788" t="s">
        <v>2722</v>
      </c>
      <c r="X788" t="s">
        <v>2276</v>
      </c>
      <c r="Y788" t="s">
        <v>117</v>
      </c>
      <c r="Z788" t="s">
        <v>73</v>
      </c>
      <c r="AA788" t="str">
        <f>"14209-1120"</f>
        <v>14209-1120</v>
      </c>
      <c r="AB788" t="s">
        <v>74</v>
      </c>
      <c r="AC788" t="s">
        <v>75</v>
      </c>
      <c r="AD788" t="s">
        <v>72</v>
      </c>
      <c r="AE788" t="s">
        <v>76</v>
      </c>
      <c r="AG788" t="s">
        <v>77</v>
      </c>
    </row>
    <row r="789" spans="1:33" x14ac:dyDescent="0.25">
      <c r="A789" t="str">
        <f>"1619991445"</f>
        <v>1619991445</v>
      </c>
      <c r="B789" t="str">
        <f>"00664604"</f>
        <v>00664604</v>
      </c>
      <c r="C789" t="s">
        <v>6717</v>
      </c>
      <c r="D789" t="s">
        <v>6718</v>
      </c>
      <c r="E789" t="s">
        <v>6719</v>
      </c>
      <c r="G789" t="s">
        <v>6499</v>
      </c>
      <c r="H789" t="s">
        <v>6500</v>
      </c>
      <c r="J789" t="s">
        <v>6501</v>
      </c>
      <c r="L789" t="s">
        <v>79</v>
      </c>
      <c r="M789" t="s">
        <v>72</v>
      </c>
      <c r="R789" t="s">
        <v>6720</v>
      </c>
      <c r="W789" t="s">
        <v>6719</v>
      </c>
      <c r="X789" t="s">
        <v>275</v>
      </c>
      <c r="Y789" t="s">
        <v>117</v>
      </c>
      <c r="Z789" t="s">
        <v>73</v>
      </c>
      <c r="AA789" t="str">
        <f>"14203-1154"</f>
        <v>14203-1154</v>
      </c>
      <c r="AB789" t="s">
        <v>74</v>
      </c>
      <c r="AC789" t="s">
        <v>75</v>
      </c>
      <c r="AD789" t="s">
        <v>72</v>
      </c>
      <c r="AE789" t="s">
        <v>76</v>
      </c>
      <c r="AF789" t="s">
        <v>3974</v>
      </c>
      <c r="AG789" t="s">
        <v>77</v>
      </c>
    </row>
    <row r="790" spans="1:33" x14ac:dyDescent="0.25">
      <c r="A790" t="str">
        <f>"1033408976"</f>
        <v>1033408976</v>
      </c>
      <c r="C790" t="s">
        <v>6721</v>
      </c>
      <c r="G790" t="s">
        <v>396</v>
      </c>
      <c r="H790" t="s">
        <v>397</v>
      </c>
      <c r="J790" t="s">
        <v>398</v>
      </c>
      <c r="K790" t="s">
        <v>89</v>
      </c>
      <c r="L790" t="s">
        <v>71</v>
      </c>
      <c r="M790" t="s">
        <v>72</v>
      </c>
      <c r="R790" t="s">
        <v>2799</v>
      </c>
      <c r="S790" t="s">
        <v>1651</v>
      </c>
      <c r="T790" t="s">
        <v>365</v>
      </c>
      <c r="U790" t="s">
        <v>73</v>
      </c>
      <c r="V790" t="str">
        <f>"141509200"</f>
        <v>141509200</v>
      </c>
      <c r="AC790" t="s">
        <v>75</v>
      </c>
      <c r="AD790" t="s">
        <v>72</v>
      </c>
      <c r="AE790" t="s">
        <v>93</v>
      </c>
      <c r="AF790" t="s">
        <v>4043</v>
      </c>
      <c r="AG790" t="s">
        <v>77</v>
      </c>
    </row>
    <row r="791" spans="1:33" x14ac:dyDescent="0.25">
      <c r="A791" t="str">
        <f>"1205109949"</f>
        <v>1205109949</v>
      </c>
      <c r="B791" t="str">
        <f>"00872028"</f>
        <v>00872028</v>
      </c>
      <c r="C791" t="s">
        <v>6722</v>
      </c>
      <c r="D791" t="s">
        <v>2216</v>
      </c>
      <c r="E791" t="s">
        <v>2217</v>
      </c>
      <c r="G791" t="s">
        <v>6723</v>
      </c>
      <c r="H791" t="s">
        <v>6724</v>
      </c>
      <c r="J791" t="s">
        <v>6725</v>
      </c>
      <c r="L791" t="s">
        <v>97</v>
      </c>
      <c r="M791" t="s">
        <v>81</v>
      </c>
      <c r="R791" t="s">
        <v>2215</v>
      </c>
      <c r="W791" t="s">
        <v>2217</v>
      </c>
      <c r="X791" t="s">
        <v>1157</v>
      </c>
      <c r="Y791" t="s">
        <v>1079</v>
      </c>
      <c r="Z791" t="s">
        <v>73</v>
      </c>
      <c r="AA791" t="str">
        <f>"14075-7419"</f>
        <v>14075-7419</v>
      </c>
      <c r="AB791" t="s">
        <v>98</v>
      </c>
      <c r="AC791" t="s">
        <v>75</v>
      </c>
      <c r="AD791" t="s">
        <v>72</v>
      </c>
      <c r="AE791" t="s">
        <v>76</v>
      </c>
      <c r="AF791" t="s">
        <v>4078</v>
      </c>
      <c r="AG791" t="s">
        <v>77</v>
      </c>
    </row>
    <row r="792" spans="1:33" x14ac:dyDescent="0.25">
      <c r="A792" t="str">
        <f>"1053684720"</f>
        <v>1053684720</v>
      </c>
      <c r="B792" t="str">
        <f>"01542621"</f>
        <v>01542621</v>
      </c>
      <c r="C792" t="s">
        <v>6726</v>
      </c>
      <c r="D792" t="s">
        <v>2241</v>
      </c>
      <c r="E792" t="s">
        <v>2242</v>
      </c>
      <c r="G792" t="s">
        <v>6727</v>
      </c>
      <c r="H792" t="s">
        <v>6728</v>
      </c>
      <c r="J792" t="s">
        <v>6729</v>
      </c>
      <c r="L792" t="s">
        <v>97</v>
      </c>
      <c r="M792" t="s">
        <v>81</v>
      </c>
      <c r="R792" t="s">
        <v>2240</v>
      </c>
      <c r="W792" t="s">
        <v>2242</v>
      </c>
      <c r="X792" t="s">
        <v>2243</v>
      </c>
      <c r="Y792" t="s">
        <v>296</v>
      </c>
      <c r="Z792" t="s">
        <v>73</v>
      </c>
      <c r="AA792" t="str">
        <f>"14086-2824"</f>
        <v>14086-2824</v>
      </c>
      <c r="AB792" t="s">
        <v>98</v>
      </c>
      <c r="AC792" t="s">
        <v>75</v>
      </c>
      <c r="AD792" t="s">
        <v>72</v>
      </c>
      <c r="AE792" t="s">
        <v>76</v>
      </c>
      <c r="AF792" t="s">
        <v>4078</v>
      </c>
      <c r="AG792" t="s">
        <v>77</v>
      </c>
    </row>
    <row r="793" spans="1:33" x14ac:dyDescent="0.25">
      <c r="A793" t="str">
        <f>"1891068532"</f>
        <v>1891068532</v>
      </c>
      <c r="B793" t="str">
        <f>"01615021"</f>
        <v>01615021</v>
      </c>
      <c r="C793" t="s">
        <v>6730</v>
      </c>
      <c r="D793" t="s">
        <v>1153</v>
      </c>
      <c r="E793" t="s">
        <v>1154</v>
      </c>
      <c r="G793" t="s">
        <v>6731</v>
      </c>
      <c r="H793" t="s">
        <v>1155</v>
      </c>
      <c r="J793" t="s">
        <v>6732</v>
      </c>
      <c r="L793" t="s">
        <v>97</v>
      </c>
      <c r="M793" t="s">
        <v>81</v>
      </c>
      <c r="R793" t="s">
        <v>1152</v>
      </c>
      <c r="W793" t="s">
        <v>1154</v>
      </c>
      <c r="X793" t="s">
        <v>1156</v>
      </c>
      <c r="Y793" t="s">
        <v>209</v>
      </c>
      <c r="Z793" t="s">
        <v>73</v>
      </c>
      <c r="AA793" t="str">
        <f>"14304-4560"</f>
        <v>14304-4560</v>
      </c>
      <c r="AB793" t="s">
        <v>98</v>
      </c>
      <c r="AC793" t="s">
        <v>75</v>
      </c>
      <c r="AD793" t="s">
        <v>72</v>
      </c>
      <c r="AE793" t="s">
        <v>76</v>
      </c>
      <c r="AF793" t="s">
        <v>4078</v>
      </c>
      <c r="AG793" t="s">
        <v>77</v>
      </c>
    </row>
    <row r="794" spans="1:33" x14ac:dyDescent="0.25">
      <c r="A794" t="str">
        <f>"1467725168"</f>
        <v>1467725168</v>
      </c>
      <c r="B794" t="str">
        <f>"01287874"</f>
        <v>01287874</v>
      </c>
      <c r="C794" t="s">
        <v>6733</v>
      </c>
      <c r="D794" t="s">
        <v>3115</v>
      </c>
      <c r="E794" t="s">
        <v>3116</v>
      </c>
      <c r="G794" t="s">
        <v>6734</v>
      </c>
      <c r="H794" t="s">
        <v>3117</v>
      </c>
      <c r="J794" t="s">
        <v>6735</v>
      </c>
      <c r="L794" t="s">
        <v>97</v>
      </c>
      <c r="M794" t="s">
        <v>81</v>
      </c>
      <c r="R794" t="s">
        <v>3118</v>
      </c>
      <c r="W794" t="s">
        <v>3116</v>
      </c>
      <c r="X794" t="s">
        <v>3119</v>
      </c>
      <c r="Y794" t="s">
        <v>228</v>
      </c>
      <c r="Z794" t="s">
        <v>73</v>
      </c>
      <c r="AA794" t="str">
        <f>"14221-2639"</f>
        <v>14221-2639</v>
      </c>
      <c r="AB794" t="s">
        <v>98</v>
      </c>
      <c r="AC794" t="s">
        <v>75</v>
      </c>
      <c r="AD794" t="s">
        <v>72</v>
      </c>
      <c r="AE794" t="s">
        <v>76</v>
      </c>
      <c r="AF794" t="s">
        <v>4078</v>
      </c>
      <c r="AG794" t="s">
        <v>77</v>
      </c>
    </row>
    <row r="795" spans="1:33" x14ac:dyDescent="0.25">
      <c r="A795" t="str">
        <f>"1306007091"</f>
        <v>1306007091</v>
      </c>
      <c r="B795" t="str">
        <f>"03389026"</f>
        <v>03389026</v>
      </c>
      <c r="C795" t="s">
        <v>6736</v>
      </c>
      <c r="D795" t="s">
        <v>1972</v>
      </c>
      <c r="E795" t="s">
        <v>1973</v>
      </c>
      <c r="G795" t="s">
        <v>3952</v>
      </c>
      <c r="H795" t="s">
        <v>3953</v>
      </c>
      <c r="J795" t="s">
        <v>3954</v>
      </c>
      <c r="L795" t="s">
        <v>80</v>
      </c>
      <c r="M795" t="s">
        <v>72</v>
      </c>
      <c r="R795" t="s">
        <v>1974</v>
      </c>
      <c r="W795" t="s">
        <v>1973</v>
      </c>
      <c r="X795" t="s">
        <v>1975</v>
      </c>
      <c r="Y795" t="s">
        <v>217</v>
      </c>
      <c r="Z795" t="s">
        <v>73</v>
      </c>
      <c r="AA795" t="str">
        <f>"14760-1858"</f>
        <v>14760-1858</v>
      </c>
      <c r="AB795" t="s">
        <v>74</v>
      </c>
      <c r="AC795" t="s">
        <v>75</v>
      </c>
      <c r="AD795" t="s">
        <v>72</v>
      </c>
      <c r="AE795" t="s">
        <v>76</v>
      </c>
      <c r="AG795" t="s">
        <v>77</v>
      </c>
    </row>
    <row r="796" spans="1:33" x14ac:dyDescent="0.25">
      <c r="A796" t="str">
        <f>"1538125869"</f>
        <v>1538125869</v>
      </c>
      <c r="B796" t="str">
        <f>"01250875"</f>
        <v>01250875</v>
      </c>
      <c r="C796" t="s">
        <v>6737</v>
      </c>
      <c r="D796" t="s">
        <v>2958</v>
      </c>
      <c r="E796" t="s">
        <v>2959</v>
      </c>
      <c r="G796" t="s">
        <v>5475</v>
      </c>
      <c r="H796" t="s">
        <v>1906</v>
      </c>
      <c r="J796" t="s">
        <v>5476</v>
      </c>
      <c r="L796" t="s">
        <v>80</v>
      </c>
      <c r="M796" t="s">
        <v>72</v>
      </c>
      <c r="R796" t="s">
        <v>2960</v>
      </c>
      <c r="W796" t="s">
        <v>2959</v>
      </c>
      <c r="X796" t="s">
        <v>2650</v>
      </c>
      <c r="Y796" t="s">
        <v>296</v>
      </c>
      <c r="Z796" t="s">
        <v>73</v>
      </c>
      <c r="AA796" t="str">
        <f>"14086-2143"</f>
        <v>14086-2143</v>
      </c>
      <c r="AB796" t="s">
        <v>74</v>
      </c>
      <c r="AC796" t="s">
        <v>75</v>
      </c>
      <c r="AD796" t="s">
        <v>72</v>
      </c>
      <c r="AE796" t="s">
        <v>76</v>
      </c>
      <c r="AF796" t="s">
        <v>3961</v>
      </c>
      <c r="AG796" t="s">
        <v>77</v>
      </c>
    </row>
    <row r="797" spans="1:33" x14ac:dyDescent="0.25">
      <c r="A797" t="str">
        <f>"1609979038"</f>
        <v>1609979038</v>
      </c>
      <c r="B797" t="str">
        <f>"01078220"</f>
        <v>01078220</v>
      </c>
      <c r="C797" t="s">
        <v>6738</v>
      </c>
      <c r="D797" t="s">
        <v>6739</v>
      </c>
      <c r="E797" t="s">
        <v>6740</v>
      </c>
      <c r="G797" t="s">
        <v>6738</v>
      </c>
      <c r="H797" t="s">
        <v>6741</v>
      </c>
      <c r="J797" t="s">
        <v>6742</v>
      </c>
      <c r="L797" t="s">
        <v>80</v>
      </c>
      <c r="M797" t="s">
        <v>72</v>
      </c>
      <c r="R797" t="s">
        <v>6743</v>
      </c>
      <c r="W797" t="s">
        <v>6740</v>
      </c>
      <c r="X797" t="s">
        <v>446</v>
      </c>
      <c r="Y797" t="s">
        <v>221</v>
      </c>
      <c r="Z797" t="s">
        <v>73</v>
      </c>
      <c r="AA797" t="str">
        <f>"14221-3698"</f>
        <v>14221-3698</v>
      </c>
      <c r="AB797" t="s">
        <v>74</v>
      </c>
      <c r="AC797" t="s">
        <v>75</v>
      </c>
      <c r="AD797" t="s">
        <v>72</v>
      </c>
      <c r="AE797" t="s">
        <v>76</v>
      </c>
      <c r="AF797" t="s">
        <v>4431</v>
      </c>
      <c r="AG797" t="s">
        <v>77</v>
      </c>
    </row>
    <row r="798" spans="1:33" x14ac:dyDescent="0.25">
      <c r="A798" t="str">
        <f>"1548241177"</f>
        <v>1548241177</v>
      </c>
      <c r="B798" t="str">
        <f>"00754036"</f>
        <v>00754036</v>
      </c>
      <c r="C798" t="s">
        <v>6744</v>
      </c>
      <c r="D798" t="s">
        <v>6745</v>
      </c>
      <c r="E798" t="s">
        <v>6746</v>
      </c>
      <c r="G798" t="s">
        <v>4979</v>
      </c>
      <c r="H798" t="s">
        <v>1123</v>
      </c>
      <c r="J798" t="s">
        <v>4981</v>
      </c>
      <c r="L798" t="s">
        <v>71</v>
      </c>
      <c r="M798" t="s">
        <v>72</v>
      </c>
      <c r="R798" t="s">
        <v>6747</v>
      </c>
      <c r="W798" t="s">
        <v>6746</v>
      </c>
      <c r="X798" t="s">
        <v>2200</v>
      </c>
      <c r="Y798" t="s">
        <v>247</v>
      </c>
      <c r="Z798" t="s">
        <v>73</v>
      </c>
      <c r="AA798" t="str">
        <f>"14227-2234"</f>
        <v>14227-2234</v>
      </c>
      <c r="AB798" t="s">
        <v>74</v>
      </c>
      <c r="AC798" t="s">
        <v>75</v>
      </c>
      <c r="AD798" t="s">
        <v>72</v>
      </c>
      <c r="AE798" t="s">
        <v>76</v>
      </c>
      <c r="AF798" t="s">
        <v>3974</v>
      </c>
      <c r="AG798" t="s">
        <v>77</v>
      </c>
    </row>
    <row r="799" spans="1:33" x14ac:dyDescent="0.25">
      <c r="A799" t="str">
        <f>"1063400521"</f>
        <v>1063400521</v>
      </c>
      <c r="B799" t="str">
        <f>"01761820"</f>
        <v>01761820</v>
      </c>
      <c r="C799" t="s">
        <v>6748</v>
      </c>
      <c r="D799" t="s">
        <v>3679</v>
      </c>
      <c r="E799" t="s">
        <v>3680</v>
      </c>
      <c r="G799" t="s">
        <v>5624</v>
      </c>
      <c r="H799" t="s">
        <v>841</v>
      </c>
      <c r="J799" t="s">
        <v>5625</v>
      </c>
      <c r="L799" t="s">
        <v>71</v>
      </c>
      <c r="M799" t="s">
        <v>81</v>
      </c>
      <c r="R799" t="s">
        <v>3681</v>
      </c>
      <c r="W799" t="s">
        <v>3680</v>
      </c>
      <c r="X799" t="s">
        <v>3682</v>
      </c>
      <c r="Y799" t="s">
        <v>392</v>
      </c>
      <c r="Z799" t="s">
        <v>73</v>
      </c>
      <c r="AA799" t="str">
        <f>"14120-1598"</f>
        <v>14120-1598</v>
      </c>
      <c r="AB799" t="s">
        <v>74</v>
      </c>
      <c r="AC799" t="s">
        <v>75</v>
      </c>
      <c r="AD799" t="s">
        <v>72</v>
      </c>
      <c r="AE799" t="s">
        <v>76</v>
      </c>
      <c r="AF799" t="s">
        <v>3974</v>
      </c>
      <c r="AG799" t="s">
        <v>77</v>
      </c>
    </row>
    <row r="800" spans="1:33" x14ac:dyDescent="0.25">
      <c r="A800" t="str">
        <f>"1609866805"</f>
        <v>1609866805</v>
      </c>
      <c r="B800" t="str">
        <f>"02831285"</f>
        <v>02831285</v>
      </c>
      <c r="C800" t="s">
        <v>6749</v>
      </c>
      <c r="D800" t="s">
        <v>1185</v>
      </c>
      <c r="E800" t="s">
        <v>1186</v>
      </c>
      <c r="G800" t="s">
        <v>3952</v>
      </c>
      <c r="H800" t="s">
        <v>3953</v>
      </c>
      <c r="J800" t="s">
        <v>3954</v>
      </c>
      <c r="L800" t="s">
        <v>80</v>
      </c>
      <c r="M800" t="s">
        <v>72</v>
      </c>
      <c r="R800" t="s">
        <v>1187</v>
      </c>
      <c r="W800" t="s">
        <v>1188</v>
      </c>
      <c r="X800" t="s">
        <v>1189</v>
      </c>
      <c r="Y800" t="s">
        <v>1190</v>
      </c>
      <c r="Z800" t="s">
        <v>73</v>
      </c>
      <c r="AA800" t="str">
        <f>"14042-9501"</f>
        <v>14042-9501</v>
      </c>
      <c r="AB800" t="s">
        <v>74</v>
      </c>
      <c r="AC800" t="s">
        <v>75</v>
      </c>
      <c r="AD800" t="s">
        <v>72</v>
      </c>
      <c r="AE800" t="s">
        <v>76</v>
      </c>
      <c r="AG800" t="s">
        <v>77</v>
      </c>
    </row>
    <row r="801" spans="1:33" x14ac:dyDescent="0.25">
      <c r="A801" t="str">
        <f>"1508820242"</f>
        <v>1508820242</v>
      </c>
      <c r="B801" t="str">
        <f>"03244144"</f>
        <v>03244144</v>
      </c>
      <c r="C801" t="s">
        <v>6750</v>
      </c>
      <c r="D801" t="s">
        <v>6751</v>
      </c>
      <c r="E801" t="s">
        <v>6752</v>
      </c>
      <c r="G801" t="s">
        <v>4811</v>
      </c>
      <c r="H801" t="s">
        <v>4812</v>
      </c>
      <c r="J801" t="s">
        <v>4813</v>
      </c>
      <c r="L801" t="s">
        <v>80</v>
      </c>
      <c r="M801" t="s">
        <v>72</v>
      </c>
      <c r="R801" t="s">
        <v>6753</v>
      </c>
      <c r="W801" t="s">
        <v>6752</v>
      </c>
      <c r="X801" t="s">
        <v>3054</v>
      </c>
      <c r="Y801" t="s">
        <v>1093</v>
      </c>
      <c r="Z801" t="s">
        <v>73</v>
      </c>
      <c r="AA801" t="str">
        <f>"14052-2540"</f>
        <v>14052-2540</v>
      </c>
      <c r="AB801" t="s">
        <v>74</v>
      </c>
      <c r="AC801" t="s">
        <v>75</v>
      </c>
      <c r="AD801" t="s">
        <v>72</v>
      </c>
      <c r="AE801" t="s">
        <v>76</v>
      </c>
      <c r="AF801" t="s">
        <v>3961</v>
      </c>
      <c r="AG801" t="s">
        <v>77</v>
      </c>
    </row>
    <row r="802" spans="1:33" x14ac:dyDescent="0.25">
      <c r="A802" t="str">
        <f>"1356384382"</f>
        <v>1356384382</v>
      </c>
      <c r="B802" t="str">
        <f>"01886039"</f>
        <v>01886039</v>
      </c>
      <c r="C802" t="s">
        <v>6754</v>
      </c>
      <c r="D802" t="s">
        <v>6755</v>
      </c>
      <c r="E802" t="s">
        <v>6756</v>
      </c>
      <c r="G802" t="s">
        <v>6754</v>
      </c>
      <c r="H802" t="s">
        <v>6757</v>
      </c>
      <c r="J802" t="s">
        <v>6758</v>
      </c>
      <c r="L802" t="s">
        <v>84</v>
      </c>
      <c r="M802" t="s">
        <v>72</v>
      </c>
      <c r="R802" t="s">
        <v>6759</v>
      </c>
      <c r="W802" t="s">
        <v>6756</v>
      </c>
      <c r="X802" t="s">
        <v>6760</v>
      </c>
      <c r="Y802" t="s">
        <v>449</v>
      </c>
      <c r="Z802" t="s">
        <v>73</v>
      </c>
      <c r="AA802" t="str">
        <f>"14011"</f>
        <v>14011</v>
      </c>
      <c r="AB802" t="s">
        <v>74</v>
      </c>
      <c r="AC802" t="s">
        <v>75</v>
      </c>
      <c r="AD802" t="s">
        <v>72</v>
      </c>
      <c r="AE802" t="s">
        <v>76</v>
      </c>
      <c r="AF802" t="s">
        <v>3974</v>
      </c>
      <c r="AG802" t="s">
        <v>77</v>
      </c>
    </row>
    <row r="803" spans="1:33" x14ac:dyDescent="0.25">
      <c r="A803" t="str">
        <f>"1235195058"</f>
        <v>1235195058</v>
      </c>
      <c r="B803" t="str">
        <f>"01885198"</f>
        <v>01885198</v>
      </c>
      <c r="C803" t="s">
        <v>6761</v>
      </c>
      <c r="D803" t="s">
        <v>2715</v>
      </c>
      <c r="E803" t="s">
        <v>2716</v>
      </c>
      <c r="G803" t="s">
        <v>6762</v>
      </c>
      <c r="H803" t="s">
        <v>2717</v>
      </c>
      <c r="J803" t="s">
        <v>6763</v>
      </c>
      <c r="L803" t="s">
        <v>79</v>
      </c>
      <c r="M803" t="s">
        <v>72</v>
      </c>
      <c r="R803" t="s">
        <v>2716</v>
      </c>
      <c r="W803" t="s">
        <v>2716</v>
      </c>
      <c r="X803" t="s">
        <v>2716</v>
      </c>
      <c r="Y803" t="s">
        <v>228</v>
      </c>
      <c r="Z803" t="s">
        <v>73</v>
      </c>
      <c r="AA803" t="str">
        <f>"14226-1736"</f>
        <v>14226-1736</v>
      </c>
      <c r="AB803" t="s">
        <v>74</v>
      </c>
      <c r="AC803" t="s">
        <v>75</v>
      </c>
      <c r="AD803" t="s">
        <v>72</v>
      </c>
      <c r="AE803" t="s">
        <v>76</v>
      </c>
      <c r="AF803" t="s">
        <v>4043</v>
      </c>
      <c r="AG803" t="s">
        <v>77</v>
      </c>
    </row>
    <row r="804" spans="1:33" x14ac:dyDescent="0.25">
      <c r="A804" t="str">
        <f>"1174563191"</f>
        <v>1174563191</v>
      </c>
      <c r="B804" t="str">
        <f>"02775235"</f>
        <v>02775235</v>
      </c>
      <c r="C804" t="s">
        <v>6764</v>
      </c>
      <c r="D804" t="s">
        <v>2204</v>
      </c>
      <c r="E804" t="s">
        <v>2205</v>
      </c>
      <c r="G804" t="s">
        <v>5019</v>
      </c>
      <c r="H804" t="s">
        <v>1681</v>
      </c>
      <c r="J804" t="s">
        <v>5020</v>
      </c>
      <c r="L804" t="s">
        <v>79</v>
      </c>
      <c r="M804" t="s">
        <v>72</v>
      </c>
      <c r="R804" t="s">
        <v>2206</v>
      </c>
      <c r="W804" t="s">
        <v>2207</v>
      </c>
      <c r="X804" t="s">
        <v>243</v>
      </c>
      <c r="Y804" t="s">
        <v>117</v>
      </c>
      <c r="Z804" t="s">
        <v>73</v>
      </c>
      <c r="AA804" t="str">
        <f>"14203-1126"</f>
        <v>14203-1126</v>
      </c>
      <c r="AB804" t="s">
        <v>74</v>
      </c>
      <c r="AC804" t="s">
        <v>75</v>
      </c>
      <c r="AD804" t="s">
        <v>72</v>
      </c>
      <c r="AE804" t="s">
        <v>76</v>
      </c>
      <c r="AF804" t="s">
        <v>3961</v>
      </c>
      <c r="AG804" t="s">
        <v>77</v>
      </c>
    </row>
    <row r="805" spans="1:33" x14ac:dyDescent="0.25">
      <c r="A805" t="str">
        <f>"1952499204"</f>
        <v>1952499204</v>
      </c>
      <c r="B805" t="str">
        <f>"02298800"</f>
        <v>02298800</v>
      </c>
      <c r="C805" t="s">
        <v>6765</v>
      </c>
      <c r="D805" t="s">
        <v>3795</v>
      </c>
      <c r="E805" t="s">
        <v>3796</v>
      </c>
      <c r="G805" t="s">
        <v>5019</v>
      </c>
      <c r="H805" t="s">
        <v>1681</v>
      </c>
      <c r="J805" t="s">
        <v>5020</v>
      </c>
      <c r="L805" t="s">
        <v>79</v>
      </c>
      <c r="M805" t="s">
        <v>72</v>
      </c>
      <c r="R805" t="s">
        <v>3797</v>
      </c>
      <c r="W805" t="s">
        <v>3796</v>
      </c>
      <c r="X805" t="s">
        <v>173</v>
      </c>
      <c r="Y805" t="s">
        <v>117</v>
      </c>
      <c r="Z805" t="s">
        <v>73</v>
      </c>
      <c r="AA805" t="str">
        <f>"14222-2006"</f>
        <v>14222-2006</v>
      </c>
      <c r="AB805" t="s">
        <v>74</v>
      </c>
      <c r="AC805" t="s">
        <v>75</v>
      </c>
      <c r="AD805" t="s">
        <v>72</v>
      </c>
      <c r="AE805" t="s">
        <v>76</v>
      </c>
      <c r="AF805" t="s">
        <v>3961</v>
      </c>
      <c r="AG805" t="s">
        <v>77</v>
      </c>
    </row>
    <row r="806" spans="1:33" x14ac:dyDescent="0.25">
      <c r="A806" t="str">
        <f>"1194915371"</f>
        <v>1194915371</v>
      </c>
      <c r="B806" t="str">
        <f>"03338929"</f>
        <v>03338929</v>
      </c>
      <c r="C806" t="s">
        <v>6766</v>
      </c>
      <c r="D806" t="s">
        <v>6767</v>
      </c>
      <c r="E806" t="s">
        <v>6768</v>
      </c>
      <c r="G806" t="s">
        <v>6081</v>
      </c>
      <c r="H806" t="s">
        <v>6769</v>
      </c>
      <c r="J806" t="s">
        <v>6770</v>
      </c>
      <c r="L806" t="s">
        <v>79</v>
      </c>
      <c r="M806" t="s">
        <v>72</v>
      </c>
      <c r="R806" t="s">
        <v>6771</v>
      </c>
      <c r="W806" t="s">
        <v>6768</v>
      </c>
      <c r="X806" t="s">
        <v>811</v>
      </c>
      <c r="Y806" t="s">
        <v>247</v>
      </c>
      <c r="Z806" t="s">
        <v>73</v>
      </c>
      <c r="AA806" t="str">
        <f>"14225-2500"</f>
        <v>14225-2500</v>
      </c>
      <c r="AB806" t="s">
        <v>74</v>
      </c>
      <c r="AC806" t="s">
        <v>75</v>
      </c>
      <c r="AD806" t="s">
        <v>72</v>
      </c>
      <c r="AE806" t="s">
        <v>76</v>
      </c>
      <c r="AF806" t="s">
        <v>3974</v>
      </c>
      <c r="AG806" t="s">
        <v>77</v>
      </c>
    </row>
    <row r="807" spans="1:33" x14ac:dyDescent="0.25">
      <c r="A807" t="str">
        <f>"1053373456"</f>
        <v>1053373456</v>
      </c>
      <c r="B807" t="str">
        <f>"02630748"</f>
        <v>02630748</v>
      </c>
      <c r="C807" t="s">
        <v>6772</v>
      </c>
      <c r="D807" t="s">
        <v>6773</v>
      </c>
      <c r="E807" t="s">
        <v>6774</v>
      </c>
      <c r="G807" t="s">
        <v>6772</v>
      </c>
      <c r="H807" t="s">
        <v>6775</v>
      </c>
      <c r="J807" t="s">
        <v>6776</v>
      </c>
      <c r="L807" t="s">
        <v>80</v>
      </c>
      <c r="M807" t="s">
        <v>72</v>
      </c>
      <c r="R807" t="s">
        <v>6777</v>
      </c>
      <c r="W807" t="s">
        <v>6774</v>
      </c>
      <c r="X807" t="s">
        <v>1146</v>
      </c>
      <c r="Y807" t="s">
        <v>436</v>
      </c>
      <c r="Z807" t="s">
        <v>73</v>
      </c>
      <c r="AA807" t="str">
        <f>"14217-1304"</f>
        <v>14217-1304</v>
      </c>
      <c r="AB807" t="s">
        <v>74</v>
      </c>
      <c r="AC807" t="s">
        <v>75</v>
      </c>
      <c r="AD807" t="s">
        <v>72</v>
      </c>
      <c r="AE807" t="s">
        <v>76</v>
      </c>
      <c r="AF807" t="s">
        <v>3974</v>
      </c>
      <c r="AG807" t="s">
        <v>77</v>
      </c>
    </row>
    <row r="808" spans="1:33" x14ac:dyDescent="0.25">
      <c r="A808" t="str">
        <f>"1700827110"</f>
        <v>1700827110</v>
      </c>
      <c r="B808" t="str">
        <f>"00898233"</f>
        <v>00898233</v>
      </c>
      <c r="C808" t="s">
        <v>6778</v>
      </c>
      <c r="D808" t="s">
        <v>1173</v>
      </c>
      <c r="E808" t="s">
        <v>1174</v>
      </c>
      <c r="G808" t="s">
        <v>4652</v>
      </c>
      <c r="H808" t="s">
        <v>672</v>
      </c>
      <c r="J808" t="s">
        <v>4653</v>
      </c>
      <c r="L808" t="s">
        <v>80</v>
      </c>
      <c r="M808" t="s">
        <v>72</v>
      </c>
      <c r="R808" t="s">
        <v>1175</v>
      </c>
      <c r="W808" t="s">
        <v>1174</v>
      </c>
      <c r="X808" t="s">
        <v>1176</v>
      </c>
      <c r="Y808" t="s">
        <v>117</v>
      </c>
      <c r="Z808" t="s">
        <v>73</v>
      </c>
      <c r="AA808" t="str">
        <f>"14225-3140"</f>
        <v>14225-3140</v>
      </c>
      <c r="AB808" t="s">
        <v>74</v>
      </c>
      <c r="AC808" t="s">
        <v>75</v>
      </c>
      <c r="AD808" t="s">
        <v>72</v>
      </c>
      <c r="AE808" t="s">
        <v>76</v>
      </c>
      <c r="AF808" t="s">
        <v>3961</v>
      </c>
      <c r="AG808" t="s">
        <v>77</v>
      </c>
    </row>
    <row r="809" spans="1:33" x14ac:dyDescent="0.25">
      <c r="A809" t="str">
        <f>"1306825153"</f>
        <v>1306825153</v>
      </c>
      <c r="B809" t="str">
        <f>"01355022"</f>
        <v>01355022</v>
      </c>
      <c r="C809" t="s">
        <v>6779</v>
      </c>
      <c r="D809" t="s">
        <v>2634</v>
      </c>
      <c r="E809" t="s">
        <v>2635</v>
      </c>
      <c r="G809" t="s">
        <v>6648</v>
      </c>
      <c r="H809" t="s">
        <v>1183</v>
      </c>
      <c r="J809" t="s">
        <v>6649</v>
      </c>
      <c r="L809" t="s">
        <v>80</v>
      </c>
      <c r="M809" t="s">
        <v>72</v>
      </c>
      <c r="R809" t="s">
        <v>2636</v>
      </c>
      <c r="W809" t="s">
        <v>2637</v>
      </c>
      <c r="X809" t="s">
        <v>243</v>
      </c>
      <c r="Y809" t="s">
        <v>117</v>
      </c>
      <c r="Z809" t="s">
        <v>73</v>
      </c>
      <c r="AA809" t="str">
        <f>"14203-1126"</f>
        <v>14203-1126</v>
      </c>
      <c r="AB809" t="s">
        <v>74</v>
      </c>
      <c r="AC809" t="s">
        <v>75</v>
      </c>
      <c r="AD809" t="s">
        <v>72</v>
      </c>
      <c r="AE809" t="s">
        <v>76</v>
      </c>
      <c r="AF809" t="s">
        <v>3961</v>
      </c>
      <c r="AG809" t="s">
        <v>77</v>
      </c>
    </row>
    <row r="810" spans="1:33" x14ac:dyDescent="0.25">
      <c r="A810" t="str">
        <f>"1053656694"</f>
        <v>1053656694</v>
      </c>
      <c r="C810" t="s">
        <v>6780</v>
      </c>
      <c r="G810" t="s">
        <v>6781</v>
      </c>
      <c r="H810" t="s">
        <v>3596</v>
      </c>
      <c r="J810" t="s">
        <v>6782</v>
      </c>
      <c r="K810" t="s">
        <v>89</v>
      </c>
      <c r="L810" t="s">
        <v>92</v>
      </c>
      <c r="M810" t="s">
        <v>72</v>
      </c>
      <c r="R810" t="s">
        <v>2238</v>
      </c>
      <c r="S810" t="s">
        <v>2239</v>
      </c>
      <c r="T810" t="s">
        <v>117</v>
      </c>
      <c r="U810" t="s">
        <v>73</v>
      </c>
      <c r="V810" t="str">
        <f>"142023925"</f>
        <v>142023925</v>
      </c>
      <c r="AC810" t="s">
        <v>75</v>
      </c>
      <c r="AD810" t="s">
        <v>72</v>
      </c>
      <c r="AE810" t="s">
        <v>93</v>
      </c>
      <c r="AF810" t="s">
        <v>4879</v>
      </c>
      <c r="AG810" t="s">
        <v>77</v>
      </c>
    </row>
    <row r="811" spans="1:33" x14ac:dyDescent="0.25">
      <c r="A811" t="str">
        <f>"1447282199"</f>
        <v>1447282199</v>
      </c>
      <c r="B811" t="str">
        <f>"02773242"</f>
        <v>02773242</v>
      </c>
      <c r="C811" t="s">
        <v>6783</v>
      </c>
      <c r="D811" t="s">
        <v>592</v>
      </c>
      <c r="E811" t="s">
        <v>593</v>
      </c>
      <c r="G811" t="s">
        <v>6784</v>
      </c>
      <c r="H811" t="s">
        <v>6785</v>
      </c>
      <c r="J811" t="s">
        <v>6786</v>
      </c>
      <c r="L811" t="s">
        <v>80</v>
      </c>
      <c r="M811" t="s">
        <v>72</v>
      </c>
      <c r="R811" t="s">
        <v>594</v>
      </c>
      <c r="W811" t="s">
        <v>593</v>
      </c>
      <c r="X811" t="s">
        <v>173</v>
      </c>
      <c r="Y811" t="s">
        <v>117</v>
      </c>
      <c r="Z811" t="s">
        <v>73</v>
      </c>
      <c r="AA811" t="str">
        <f>"14222-2006"</f>
        <v>14222-2006</v>
      </c>
      <c r="AB811" t="s">
        <v>74</v>
      </c>
      <c r="AC811" t="s">
        <v>75</v>
      </c>
      <c r="AD811" t="s">
        <v>72</v>
      </c>
      <c r="AE811" t="s">
        <v>76</v>
      </c>
      <c r="AF811" t="s">
        <v>4078</v>
      </c>
      <c r="AG811" t="s">
        <v>77</v>
      </c>
    </row>
    <row r="812" spans="1:33" x14ac:dyDescent="0.25">
      <c r="C812" t="s">
        <v>6787</v>
      </c>
      <c r="G812" t="s">
        <v>6788</v>
      </c>
      <c r="H812" t="s">
        <v>6789</v>
      </c>
      <c r="J812" t="s">
        <v>6790</v>
      </c>
      <c r="K812" t="s">
        <v>157</v>
      </c>
      <c r="L812" t="s">
        <v>90</v>
      </c>
      <c r="M812" t="s">
        <v>72</v>
      </c>
      <c r="N812" t="s">
        <v>6791</v>
      </c>
      <c r="O812" t="s">
        <v>1101</v>
      </c>
      <c r="P812" t="s">
        <v>73</v>
      </c>
      <c r="Q812" t="str">
        <f>"14202"</f>
        <v>14202</v>
      </c>
      <c r="AC812" t="s">
        <v>75</v>
      </c>
      <c r="AD812" t="s">
        <v>72</v>
      </c>
      <c r="AE812" t="s">
        <v>91</v>
      </c>
      <c r="AF812" t="s">
        <v>4078</v>
      </c>
      <c r="AG812" t="s">
        <v>77</v>
      </c>
    </row>
    <row r="813" spans="1:33" x14ac:dyDescent="0.25">
      <c r="C813" t="s">
        <v>6792</v>
      </c>
      <c r="G813" t="s">
        <v>6788</v>
      </c>
      <c r="H813" t="s">
        <v>6793</v>
      </c>
      <c r="J813" t="s">
        <v>6790</v>
      </c>
      <c r="K813" t="s">
        <v>89</v>
      </c>
      <c r="L813" t="s">
        <v>90</v>
      </c>
      <c r="M813" t="s">
        <v>72</v>
      </c>
      <c r="N813" t="s">
        <v>6794</v>
      </c>
      <c r="O813" t="s">
        <v>1101</v>
      </c>
      <c r="P813" t="s">
        <v>73</v>
      </c>
      <c r="Q813" t="str">
        <f>"14202"</f>
        <v>14202</v>
      </c>
      <c r="AC813" t="s">
        <v>75</v>
      </c>
      <c r="AD813" t="s">
        <v>72</v>
      </c>
      <c r="AE813" t="s">
        <v>91</v>
      </c>
      <c r="AG813" t="s">
        <v>77</v>
      </c>
    </row>
    <row r="814" spans="1:33" x14ac:dyDescent="0.25">
      <c r="A814" t="str">
        <f>"1376799783"</f>
        <v>1376799783</v>
      </c>
      <c r="B814" t="str">
        <f>"03649272"</f>
        <v>03649272</v>
      </c>
      <c r="C814" t="s">
        <v>6795</v>
      </c>
      <c r="D814" t="s">
        <v>6796</v>
      </c>
      <c r="E814" t="s">
        <v>6797</v>
      </c>
      <c r="G814" t="s">
        <v>6795</v>
      </c>
      <c r="H814" t="s">
        <v>6798</v>
      </c>
      <c r="J814" t="s">
        <v>6799</v>
      </c>
      <c r="L814" t="s">
        <v>71</v>
      </c>
      <c r="M814" t="s">
        <v>72</v>
      </c>
      <c r="R814" t="s">
        <v>6800</v>
      </c>
      <c r="W814" t="s">
        <v>6797</v>
      </c>
      <c r="X814" t="s">
        <v>1146</v>
      </c>
      <c r="Y814" t="s">
        <v>436</v>
      </c>
      <c r="Z814" t="s">
        <v>73</v>
      </c>
      <c r="AA814" t="str">
        <f>"14217-1304"</f>
        <v>14217-1304</v>
      </c>
      <c r="AB814" t="s">
        <v>74</v>
      </c>
      <c r="AC814" t="s">
        <v>75</v>
      </c>
      <c r="AD814" t="s">
        <v>72</v>
      </c>
      <c r="AE814" t="s">
        <v>76</v>
      </c>
      <c r="AF814" t="s">
        <v>3974</v>
      </c>
      <c r="AG814" t="s">
        <v>77</v>
      </c>
    </row>
    <row r="815" spans="1:33" x14ac:dyDescent="0.25">
      <c r="A815" t="str">
        <f>"1700040672"</f>
        <v>1700040672</v>
      </c>
      <c r="B815" t="str">
        <f>"03126390"</f>
        <v>03126390</v>
      </c>
      <c r="C815" t="s">
        <v>6801</v>
      </c>
      <c r="D815" t="s">
        <v>3395</v>
      </c>
      <c r="E815" t="s">
        <v>3396</v>
      </c>
      <c r="G815" t="s">
        <v>3969</v>
      </c>
      <c r="H815" t="s">
        <v>3970</v>
      </c>
      <c r="J815" t="s">
        <v>3971</v>
      </c>
      <c r="L815" t="s">
        <v>79</v>
      </c>
      <c r="M815" t="s">
        <v>72</v>
      </c>
      <c r="R815" t="s">
        <v>3397</v>
      </c>
      <c r="W815" t="s">
        <v>3396</v>
      </c>
      <c r="X815" t="s">
        <v>234</v>
      </c>
      <c r="Y815" t="s">
        <v>117</v>
      </c>
      <c r="Z815" t="s">
        <v>73</v>
      </c>
      <c r="AA815" t="str">
        <f>"14220-2039"</f>
        <v>14220-2039</v>
      </c>
      <c r="AB815" t="s">
        <v>74</v>
      </c>
      <c r="AC815" t="s">
        <v>75</v>
      </c>
      <c r="AD815" t="s">
        <v>72</v>
      </c>
      <c r="AE815" t="s">
        <v>76</v>
      </c>
      <c r="AF815" t="s">
        <v>3974</v>
      </c>
      <c r="AG815" t="s">
        <v>77</v>
      </c>
    </row>
    <row r="816" spans="1:33" x14ac:dyDescent="0.25">
      <c r="A816" t="str">
        <f>"1801845516"</f>
        <v>1801845516</v>
      </c>
      <c r="B816" t="str">
        <f>"00925773"</f>
        <v>00925773</v>
      </c>
      <c r="C816" t="s">
        <v>6802</v>
      </c>
      <c r="D816" t="s">
        <v>6803</v>
      </c>
      <c r="E816" t="s">
        <v>6804</v>
      </c>
      <c r="G816" t="s">
        <v>5156</v>
      </c>
      <c r="H816" t="s">
        <v>1927</v>
      </c>
      <c r="J816" t="s">
        <v>5157</v>
      </c>
      <c r="L816" t="s">
        <v>80</v>
      </c>
      <c r="M816" t="s">
        <v>72</v>
      </c>
      <c r="R816" t="s">
        <v>6805</v>
      </c>
      <c r="W816" t="s">
        <v>6806</v>
      </c>
      <c r="X816" t="s">
        <v>5955</v>
      </c>
      <c r="Y816" t="s">
        <v>237</v>
      </c>
      <c r="Z816" t="s">
        <v>73</v>
      </c>
      <c r="AA816" t="str">
        <f>"14224-3332"</f>
        <v>14224-3332</v>
      </c>
      <c r="AB816" t="s">
        <v>74</v>
      </c>
      <c r="AC816" t="s">
        <v>75</v>
      </c>
      <c r="AD816" t="s">
        <v>72</v>
      </c>
      <c r="AE816" t="s">
        <v>76</v>
      </c>
      <c r="AF816" t="s">
        <v>3961</v>
      </c>
      <c r="AG816" t="s">
        <v>77</v>
      </c>
    </row>
    <row r="817" spans="1:33" x14ac:dyDescent="0.25">
      <c r="A817" t="str">
        <f>"1124289558"</f>
        <v>1124289558</v>
      </c>
      <c r="B817" t="str">
        <f>"03418820"</f>
        <v>03418820</v>
      </c>
      <c r="C817" t="s">
        <v>6807</v>
      </c>
      <c r="D817" t="s">
        <v>6808</v>
      </c>
      <c r="E817" t="s">
        <v>6809</v>
      </c>
      <c r="G817" t="s">
        <v>4066</v>
      </c>
      <c r="H817" t="s">
        <v>4067</v>
      </c>
      <c r="J817" t="s">
        <v>4068</v>
      </c>
      <c r="L817" t="s">
        <v>79</v>
      </c>
      <c r="M817" t="s">
        <v>72</v>
      </c>
      <c r="R817" t="s">
        <v>6810</v>
      </c>
      <c r="W817" t="s">
        <v>6809</v>
      </c>
      <c r="X817" t="s">
        <v>6811</v>
      </c>
      <c r="Y817" t="s">
        <v>117</v>
      </c>
      <c r="Z817" t="s">
        <v>73</v>
      </c>
      <c r="AA817" t="str">
        <f>"14216-1712"</f>
        <v>14216-1712</v>
      </c>
      <c r="AB817" t="s">
        <v>74</v>
      </c>
      <c r="AC817" t="s">
        <v>75</v>
      </c>
      <c r="AD817" t="s">
        <v>72</v>
      </c>
      <c r="AE817" t="s">
        <v>76</v>
      </c>
      <c r="AF817" t="s">
        <v>3961</v>
      </c>
      <c r="AG817" t="s">
        <v>77</v>
      </c>
    </row>
    <row r="818" spans="1:33" x14ac:dyDescent="0.25">
      <c r="A818" t="str">
        <f>"1366409906"</f>
        <v>1366409906</v>
      </c>
      <c r="B818" t="str">
        <f>"01613065"</f>
        <v>01613065</v>
      </c>
      <c r="C818" t="s">
        <v>6812</v>
      </c>
      <c r="D818" t="s">
        <v>6813</v>
      </c>
      <c r="E818" t="s">
        <v>6814</v>
      </c>
      <c r="G818" t="s">
        <v>3969</v>
      </c>
      <c r="H818" t="s">
        <v>3970</v>
      </c>
      <c r="J818" t="s">
        <v>3971</v>
      </c>
      <c r="L818" t="s">
        <v>79</v>
      </c>
      <c r="M818" t="s">
        <v>72</v>
      </c>
      <c r="R818" t="s">
        <v>6815</v>
      </c>
      <c r="W818" t="s">
        <v>6816</v>
      </c>
      <c r="X818" t="s">
        <v>234</v>
      </c>
      <c r="Y818" t="s">
        <v>117</v>
      </c>
      <c r="Z818" t="s">
        <v>73</v>
      </c>
      <c r="AA818" t="str">
        <f>"14220-2039"</f>
        <v>14220-2039</v>
      </c>
      <c r="AB818" t="s">
        <v>74</v>
      </c>
      <c r="AC818" t="s">
        <v>75</v>
      </c>
      <c r="AD818" t="s">
        <v>72</v>
      </c>
      <c r="AE818" t="s">
        <v>76</v>
      </c>
      <c r="AF818" t="s">
        <v>3961</v>
      </c>
      <c r="AG818" t="s">
        <v>77</v>
      </c>
    </row>
    <row r="819" spans="1:33" x14ac:dyDescent="0.25">
      <c r="A819" t="str">
        <f>"1467655779"</f>
        <v>1467655779</v>
      </c>
      <c r="B819" t="str">
        <f>"03249227"</f>
        <v>03249227</v>
      </c>
      <c r="C819" t="s">
        <v>6817</v>
      </c>
      <c r="D819" t="s">
        <v>1306</v>
      </c>
      <c r="E819" t="s">
        <v>1307</v>
      </c>
      <c r="G819" t="s">
        <v>3952</v>
      </c>
      <c r="H819" t="s">
        <v>3953</v>
      </c>
      <c r="J819" t="s">
        <v>3954</v>
      </c>
      <c r="L819" t="s">
        <v>79</v>
      </c>
      <c r="M819" t="s">
        <v>72</v>
      </c>
      <c r="R819" t="s">
        <v>1308</v>
      </c>
      <c r="W819" t="s">
        <v>1307</v>
      </c>
      <c r="X819" t="s">
        <v>250</v>
      </c>
      <c r="Y819" t="s">
        <v>217</v>
      </c>
      <c r="Z819" t="s">
        <v>73</v>
      </c>
      <c r="AA819" t="str">
        <f>"14760-1513"</f>
        <v>14760-1513</v>
      </c>
      <c r="AB819" t="s">
        <v>74</v>
      </c>
      <c r="AC819" t="s">
        <v>75</v>
      </c>
      <c r="AD819" t="s">
        <v>72</v>
      </c>
      <c r="AE819" t="s">
        <v>76</v>
      </c>
      <c r="AG819" t="s">
        <v>77</v>
      </c>
    </row>
    <row r="820" spans="1:33" x14ac:dyDescent="0.25">
      <c r="A820" t="str">
        <f>"1518134196"</f>
        <v>1518134196</v>
      </c>
      <c r="B820" t="str">
        <f>"03015125"</f>
        <v>03015125</v>
      </c>
      <c r="C820" t="s">
        <v>6818</v>
      </c>
      <c r="D820" t="s">
        <v>6819</v>
      </c>
      <c r="E820" t="s">
        <v>6820</v>
      </c>
      <c r="G820" t="s">
        <v>3969</v>
      </c>
      <c r="H820" t="s">
        <v>3970</v>
      </c>
      <c r="J820" t="s">
        <v>3971</v>
      </c>
      <c r="L820" t="s">
        <v>79</v>
      </c>
      <c r="M820" t="s">
        <v>72</v>
      </c>
      <c r="R820" t="s">
        <v>6821</v>
      </c>
      <c r="W820" t="s">
        <v>6820</v>
      </c>
      <c r="X820" t="s">
        <v>234</v>
      </c>
      <c r="Y820" t="s">
        <v>117</v>
      </c>
      <c r="Z820" t="s">
        <v>73</v>
      </c>
      <c r="AA820" t="str">
        <f>"14220-2039"</f>
        <v>14220-2039</v>
      </c>
      <c r="AB820" t="s">
        <v>74</v>
      </c>
      <c r="AC820" t="s">
        <v>75</v>
      </c>
      <c r="AD820" t="s">
        <v>72</v>
      </c>
      <c r="AE820" t="s">
        <v>76</v>
      </c>
      <c r="AF820" t="s">
        <v>3974</v>
      </c>
      <c r="AG820" t="s">
        <v>77</v>
      </c>
    </row>
    <row r="821" spans="1:33" x14ac:dyDescent="0.25">
      <c r="A821" t="str">
        <f>"1013904283"</f>
        <v>1013904283</v>
      </c>
      <c r="B821" t="str">
        <f>"01323793"</f>
        <v>01323793</v>
      </c>
      <c r="C821" t="s">
        <v>6822</v>
      </c>
      <c r="D821" t="s">
        <v>3884</v>
      </c>
      <c r="E821" t="s">
        <v>3885</v>
      </c>
      <c r="G821" t="s">
        <v>3865</v>
      </c>
      <c r="H821" t="s">
        <v>3866</v>
      </c>
      <c r="J821" t="s">
        <v>3867</v>
      </c>
      <c r="L821" t="s">
        <v>97</v>
      </c>
      <c r="M821" t="s">
        <v>81</v>
      </c>
      <c r="R821" t="s">
        <v>3886</v>
      </c>
      <c r="W821" t="s">
        <v>3885</v>
      </c>
      <c r="X821" t="s">
        <v>3887</v>
      </c>
      <c r="Y821" t="s">
        <v>221</v>
      </c>
      <c r="Z821" t="s">
        <v>73</v>
      </c>
      <c r="AA821" t="str">
        <f>"14221-7332"</f>
        <v>14221-7332</v>
      </c>
      <c r="AB821" t="s">
        <v>98</v>
      </c>
      <c r="AC821" t="s">
        <v>75</v>
      </c>
      <c r="AD821" t="s">
        <v>72</v>
      </c>
      <c r="AE821" t="s">
        <v>76</v>
      </c>
      <c r="AF821" t="s">
        <v>4078</v>
      </c>
      <c r="AG821" t="s">
        <v>77</v>
      </c>
    </row>
    <row r="822" spans="1:33" x14ac:dyDescent="0.25">
      <c r="A822" t="str">
        <f>"1689786477"</f>
        <v>1689786477</v>
      </c>
      <c r="B822" t="str">
        <f>"03236757"</f>
        <v>03236757</v>
      </c>
      <c r="C822" t="s">
        <v>6823</v>
      </c>
      <c r="D822" t="s">
        <v>6824</v>
      </c>
      <c r="E822" t="s">
        <v>6825</v>
      </c>
      <c r="G822" t="s">
        <v>3988</v>
      </c>
      <c r="H822" t="s">
        <v>1302</v>
      </c>
      <c r="J822" t="s">
        <v>3989</v>
      </c>
      <c r="L822" t="s">
        <v>79</v>
      </c>
      <c r="M822" t="s">
        <v>72</v>
      </c>
      <c r="R822" t="s">
        <v>6826</v>
      </c>
      <c r="W822" t="s">
        <v>6825</v>
      </c>
      <c r="X822" t="s">
        <v>201</v>
      </c>
      <c r="Y822" t="s">
        <v>111</v>
      </c>
      <c r="Z822" t="s">
        <v>73</v>
      </c>
      <c r="AA822" t="str">
        <f>"14621-3001"</f>
        <v>14621-3001</v>
      </c>
      <c r="AB822" t="s">
        <v>74</v>
      </c>
      <c r="AC822" t="s">
        <v>75</v>
      </c>
      <c r="AD822" t="s">
        <v>72</v>
      </c>
      <c r="AE822" t="s">
        <v>76</v>
      </c>
      <c r="AF822" t="s">
        <v>3974</v>
      </c>
      <c r="AG822" t="s">
        <v>77</v>
      </c>
    </row>
    <row r="823" spans="1:33" x14ac:dyDescent="0.25">
      <c r="A823" t="str">
        <f>"1568426344"</f>
        <v>1568426344</v>
      </c>
      <c r="B823" t="str">
        <f>"00788207"</f>
        <v>00788207</v>
      </c>
      <c r="C823" t="s">
        <v>6827</v>
      </c>
      <c r="D823" t="s">
        <v>1013</v>
      </c>
      <c r="E823" t="s">
        <v>1014</v>
      </c>
      <c r="G823" t="s">
        <v>5185</v>
      </c>
      <c r="H823" t="s">
        <v>1015</v>
      </c>
      <c r="J823" t="s">
        <v>5186</v>
      </c>
      <c r="L823" t="s">
        <v>80</v>
      </c>
      <c r="M823" t="s">
        <v>72</v>
      </c>
      <c r="R823" t="s">
        <v>1016</v>
      </c>
      <c r="W823" t="s">
        <v>1014</v>
      </c>
      <c r="X823" t="s">
        <v>446</v>
      </c>
      <c r="Y823" t="s">
        <v>117</v>
      </c>
      <c r="Z823" t="s">
        <v>73</v>
      </c>
      <c r="AA823" t="str">
        <f>"14209-1194"</f>
        <v>14209-1194</v>
      </c>
      <c r="AB823" t="s">
        <v>74</v>
      </c>
      <c r="AC823" t="s">
        <v>75</v>
      </c>
      <c r="AD823" t="s">
        <v>72</v>
      </c>
      <c r="AE823" t="s">
        <v>76</v>
      </c>
      <c r="AF823" t="s">
        <v>3974</v>
      </c>
      <c r="AG823" t="s">
        <v>77</v>
      </c>
    </row>
    <row r="824" spans="1:33" x14ac:dyDescent="0.25">
      <c r="A824" t="str">
        <f>"1760742548"</f>
        <v>1760742548</v>
      </c>
      <c r="B824" t="str">
        <f>"03465001"</f>
        <v>03465001</v>
      </c>
      <c r="C824" t="s">
        <v>409</v>
      </c>
      <c r="D824" t="s">
        <v>410</v>
      </c>
      <c r="E824" t="s">
        <v>411</v>
      </c>
      <c r="G824" t="s">
        <v>396</v>
      </c>
      <c r="H824" t="s">
        <v>397</v>
      </c>
      <c r="J824" t="s">
        <v>398</v>
      </c>
      <c r="L824" t="s">
        <v>33</v>
      </c>
      <c r="M824" t="s">
        <v>81</v>
      </c>
      <c r="R824" t="s">
        <v>412</v>
      </c>
      <c r="W824" t="s">
        <v>411</v>
      </c>
      <c r="X824" t="s">
        <v>413</v>
      </c>
      <c r="Y824" t="s">
        <v>326</v>
      </c>
      <c r="Z824" t="s">
        <v>73</v>
      </c>
      <c r="AA824" t="str">
        <f>"14127-2600"</f>
        <v>14127-2600</v>
      </c>
      <c r="AB824" t="s">
        <v>88</v>
      </c>
      <c r="AC824" t="s">
        <v>75</v>
      </c>
      <c r="AD824" t="s">
        <v>72</v>
      </c>
      <c r="AE824" t="s">
        <v>76</v>
      </c>
      <c r="AF824" t="s">
        <v>4059</v>
      </c>
      <c r="AG824" t="s">
        <v>77</v>
      </c>
    </row>
    <row r="825" spans="1:33" x14ac:dyDescent="0.25">
      <c r="C825" t="s">
        <v>6828</v>
      </c>
      <c r="G825" t="s">
        <v>6829</v>
      </c>
      <c r="H825" t="s">
        <v>3592</v>
      </c>
      <c r="J825" t="s">
        <v>6830</v>
      </c>
      <c r="K825" t="s">
        <v>89</v>
      </c>
      <c r="L825" t="s">
        <v>90</v>
      </c>
      <c r="M825" t="s">
        <v>72</v>
      </c>
      <c r="N825" t="s">
        <v>6831</v>
      </c>
      <c r="O825" t="s">
        <v>3835</v>
      </c>
      <c r="P825" t="s">
        <v>73</v>
      </c>
      <c r="Q825" t="str">
        <f>"14070"</f>
        <v>14070</v>
      </c>
      <c r="AC825" t="s">
        <v>75</v>
      </c>
      <c r="AD825" t="s">
        <v>72</v>
      </c>
      <c r="AE825" t="s">
        <v>91</v>
      </c>
      <c r="AF825" t="s">
        <v>4059</v>
      </c>
      <c r="AG825" t="s">
        <v>77</v>
      </c>
    </row>
    <row r="826" spans="1:33" x14ac:dyDescent="0.25">
      <c r="A826" t="str">
        <f>"1871757914"</f>
        <v>1871757914</v>
      </c>
      <c r="B826" t="str">
        <f>"03400171"</f>
        <v>03400171</v>
      </c>
      <c r="C826" t="s">
        <v>6832</v>
      </c>
      <c r="D826" t="s">
        <v>3688</v>
      </c>
      <c r="E826" t="s">
        <v>3689</v>
      </c>
      <c r="G826" t="s">
        <v>6833</v>
      </c>
      <c r="H826" t="s">
        <v>3122</v>
      </c>
      <c r="J826" t="s">
        <v>6834</v>
      </c>
      <c r="L826" t="s">
        <v>71</v>
      </c>
      <c r="M826" t="s">
        <v>72</v>
      </c>
      <c r="R826" t="s">
        <v>3690</v>
      </c>
      <c r="W826" t="s">
        <v>3689</v>
      </c>
      <c r="X826" t="s">
        <v>3691</v>
      </c>
      <c r="Y826" t="s">
        <v>209</v>
      </c>
      <c r="Z826" t="s">
        <v>73</v>
      </c>
      <c r="AA826" t="str">
        <f>"14304-3096"</f>
        <v>14304-3096</v>
      </c>
      <c r="AB826" t="s">
        <v>74</v>
      </c>
      <c r="AC826" t="s">
        <v>75</v>
      </c>
      <c r="AD826" t="s">
        <v>72</v>
      </c>
      <c r="AE826" t="s">
        <v>76</v>
      </c>
      <c r="AF826" t="s">
        <v>3974</v>
      </c>
      <c r="AG826" t="s">
        <v>77</v>
      </c>
    </row>
    <row r="827" spans="1:33" x14ac:dyDescent="0.25">
      <c r="A827" t="str">
        <f>"1972705978"</f>
        <v>1972705978</v>
      </c>
      <c r="B827" t="str">
        <f>"02440242"</f>
        <v>02440242</v>
      </c>
      <c r="C827" t="s">
        <v>6835</v>
      </c>
      <c r="D827" t="s">
        <v>1329</v>
      </c>
      <c r="E827" t="s">
        <v>1330</v>
      </c>
      <c r="G827" t="s">
        <v>4856</v>
      </c>
      <c r="H827" t="s">
        <v>1762</v>
      </c>
      <c r="J827" t="s">
        <v>4857</v>
      </c>
      <c r="L827" t="s">
        <v>71</v>
      </c>
      <c r="M827" t="s">
        <v>72</v>
      </c>
      <c r="R827" t="s">
        <v>1331</v>
      </c>
      <c r="W827" t="s">
        <v>1330</v>
      </c>
      <c r="X827" t="s">
        <v>1332</v>
      </c>
      <c r="Y827" t="s">
        <v>117</v>
      </c>
      <c r="Z827" t="s">
        <v>73</v>
      </c>
      <c r="AA827" t="str">
        <f>"14215-3021"</f>
        <v>14215-3021</v>
      </c>
      <c r="AB827" t="s">
        <v>74</v>
      </c>
      <c r="AC827" t="s">
        <v>75</v>
      </c>
      <c r="AD827" t="s">
        <v>72</v>
      </c>
      <c r="AE827" t="s">
        <v>76</v>
      </c>
      <c r="AF827" t="s">
        <v>3974</v>
      </c>
      <c r="AG827" t="s">
        <v>77</v>
      </c>
    </row>
    <row r="828" spans="1:33" x14ac:dyDescent="0.25">
      <c r="A828" t="str">
        <f>"1477887560"</f>
        <v>1477887560</v>
      </c>
      <c r="B828" t="str">
        <f>"03154056"</f>
        <v>03154056</v>
      </c>
      <c r="C828" t="s">
        <v>6836</v>
      </c>
      <c r="D828" t="s">
        <v>1369</v>
      </c>
      <c r="E828" t="s">
        <v>1370</v>
      </c>
      <c r="G828" t="s">
        <v>3976</v>
      </c>
      <c r="H828" t="s">
        <v>1372</v>
      </c>
      <c r="J828" t="s">
        <v>3977</v>
      </c>
      <c r="L828" t="s">
        <v>80</v>
      </c>
      <c r="M828" t="s">
        <v>72</v>
      </c>
      <c r="R828" t="s">
        <v>1371</v>
      </c>
      <c r="W828" t="s">
        <v>1373</v>
      </c>
      <c r="X828" t="s">
        <v>1374</v>
      </c>
      <c r="Y828" t="s">
        <v>851</v>
      </c>
      <c r="Z828" t="s">
        <v>73</v>
      </c>
      <c r="AA828" t="str">
        <f>"14047-9430"</f>
        <v>14047-9430</v>
      </c>
      <c r="AB828" t="s">
        <v>74</v>
      </c>
      <c r="AC828" t="s">
        <v>75</v>
      </c>
      <c r="AD828" t="s">
        <v>72</v>
      </c>
      <c r="AE828" t="s">
        <v>76</v>
      </c>
      <c r="AF828" t="s">
        <v>3961</v>
      </c>
      <c r="AG828" t="s">
        <v>77</v>
      </c>
    </row>
    <row r="829" spans="1:33" x14ac:dyDescent="0.25">
      <c r="A829" t="str">
        <f>"1437107232"</f>
        <v>1437107232</v>
      </c>
      <c r="B829" t="str">
        <f>"00801969"</f>
        <v>00801969</v>
      </c>
      <c r="C829" t="s">
        <v>6837</v>
      </c>
      <c r="D829" t="s">
        <v>1487</v>
      </c>
      <c r="E829" t="s">
        <v>1488</v>
      </c>
      <c r="G829" t="s">
        <v>6838</v>
      </c>
      <c r="H829" t="s">
        <v>6839</v>
      </c>
      <c r="J829" t="s">
        <v>6840</v>
      </c>
      <c r="L829" t="s">
        <v>92</v>
      </c>
      <c r="M829" t="s">
        <v>72</v>
      </c>
      <c r="R829" t="s">
        <v>1489</v>
      </c>
      <c r="W829" t="s">
        <v>1488</v>
      </c>
      <c r="X829" t="s">
        <v>446</v>
      </c>
      <c r="Y829" t="s">
        <v>117</v>
      </c>
      <c r="Z829" t="s">
        <v>73</v>
      </c>
      <c r="AA829" t="str">
        <f>"14209"</f>
        <v>14209</v>
      </c>
      <c r="AB829" t="s">
        <v>74</v>
      </c>
      <c r="AC829" t="s">
        <v>75</v>
      </c>
      <c r="AD829" t="s">
        <v>72</v>
      </c>
      <c r="AE829" t="s">
        <v>76</v>
      </c>
      <c r="AF829" t="s">
        <v>3974</v>
      </c>
      <c r="AG829" t="s">
        <v>77</v>
      </c>
    </row>
    <row r="830" spans="1:33" x14ac:dyDescent="0.25">
      <c r="A830" t="str">
        <f>"1497796304"</f>
        <v>1497796304</v>
      </c>
      <c r="B830" t="str">
        <f>"02689123"</f>
        <v>02689123</v>
      </c>
      <c r="C830" t="s">
        <v>6841</v>
      </c>
      <c r="D830" t="s">
        <v>1526</v>
      </c>
      <c r="E830" t="s">
        <v>1527</v>
      </c>
      <c r="G830" t="s">
        <v>3988</v>
      </c>
      <c r="H830" t="s">
        <v>5317</v>
      </c>
      <c r="J830" t="s">
        <v>3989</v>
      </c>
      <c r="L830" t="s">
        <v>79</v>
      </c>
      <c r="M830" t="s">
        <v>72</v>
      </c>
      <c r="R830" t="s">
        <v>1528</v>
      </c>
      <c r="W830" t="s">
        <v>1527</v>
      </c>
      <c r="X830" t="s">
        <v>1529</v>
      </c>
      <c r="Y830" t="s">
        <v>221</v>
      </c>
      <c r="Z830" t="s">
        <v>73</v>
      </c>
      <c r="AA830" t="str">
        <f>"14221-7717"</f>
        <v>14221-7717</v>
      </c>
      <c r="AB830" t="s">
        <v>74</v>
      </c>
      <c r="AC830" t="s">
        <v>75</v>
      </c>
      <c r="AD830" t="s">
        <v>72</v>
      </c>
      <c r="AE830" t="s">
        <v>76</v>
      </c>
      <c r="AF830" t="s">
        <v>3974</v>
      </c>
      <c r="AG830" t="s">
        <v>77</v>
      </c>
    </row>
    <row r="831" spans="1:33" x14ac:dyDescent="0.25">
      <c r="A831" t="str">
        <f>"1700077443"</f>
        <v>1700077443</v>
      </c>
      <c r="B831" t="str">
        <f>"01960663"</f>
        <v>01960663</v>
      </c>
      <c r="C831" t="s">
        <v>414</v>
      </c>
      <c r="D831" t="s">
        <v>415</v>
      </c>
      <c r="E831" t="s">
        <v>416</v>
      </c>
      <c r="F831">
        <v>222334190</v>
      </c>
      <c r="G831" t="s">
        <v>6842</v>
      </c>
      <c r="L831" t="s">
        <v>35</v>
      </c>
      <c r="M831" t="s">
        <v>72</v>
      </c>
      <c r="R831" t="s">
        <v>417</v>
      </c>
      <c r="W831" t="s">
        <v>416</v>
      </c>
      <c r="X831" t="s">
        <v>418</v>
      </c>
      <c r="Y831" t="s">
        <v>419</v>
      </c>
      <c r="Z831" t="s">
        <v>73</v>
      </c>
      <c r="AA831" t="str">
        <f>"14445-2407"</f>
        <v>14445-2407</v>
      </c>
      <c r="AB831" t="s">
        <v>88</v>
      </c>
      <c r="AC831" t="s">
        <v>75</v>
      </c>
      <c r="AD831" t="s">
        <v>72</v>
      </c>
      <c r="AE831" t="s">
        <v>76</v>
      </c>
      <c r="AF831" t="s">
        <v>4078</v>
      </c>
      <c r="AG831" t="s">
        <v>77</v>
      </c>
    </row>
    <row r="832" spans="1:33" x14ac:dyDescent="0.25">
      <c r="A832" t="str">
        <f>"1831195270"</f>
        <v>1831195270</v>
      </c>
      <c r="B832" t="str">
        <f>"00356327"</f>
        <v>00356327</v>
      </c>
      <c r="C832" t="s">
        <v>6843</v>
      </c>
      <c r="D832" t="s">
        <v>976</v>
      </c>
      <c r="E832" t="s">
        <v>977</v>
      </c>
      <c r="G832" t="s">
        <v>3829</v>
      </c>
      <c r="H832" t="s">
        <v>6844</v>
      </c>
      <c r="J832" t="s">
        <v>3830</v>
      </c>
      <c r="L832" t="s">
        <v>97</v>
      </c>
      <c r="M832" t="s">
        <v>81</v>
      </c>
      <c r="R832" t="s">
        <v>975</v>
      </c>
      <c r="W832" t="s">
        <v>977</v>
      </c>
      <c r="X832" t="s">
        <v>978</v>
      </c>
      <c r="Y832" t="s">
        <v>979</v>
      </c>
      <c r="Z832" t="s">
        <v>73</v>
      </c>
      <c r="AA832" t="str">
        <f>"14740-9540"</f>
        <v>14740-9540</v>
      </c>
      <c r="AB832" t="s">
        <v>98</v>
      </c>
      <c r="AC832" t="s">
        <v>75</v>
      </c>
      <c r="AD832" t="s">
        <v>72</v>
      </c>
      <c r="AE832" t="s">
        <v>76</v>
      </c>
      <c r="AF832" t="s">
        <v>4078</v>
      </c>
      <c r="AG832" t="s">
        <v>77</v>
      </c>
    </row>
    <row r="833" spans="1:33" x14ac:dyDescent="0.25">
      <c r="A833" t="str">
        <f>"1285875054"</f>
        <v>1285875054</v>
      </c>
      <c r="C833" t="s">
        <v>6845</v>
      </c>
      <c r="G833" t="s">
        <v>6846</v>
      </c>
      <c r="H833" t="s">
        <v>6847</v>
      </c>
      <c r="I833">
        <v>110</v>
      </c>
      <c r="J833" t="s">
        <v>6848</v>
      </c>
      <c r="K833" t="s">
        <v>89</v>
      </c>
      <c r="L833" t="s">
        <v>92</v>
      </c>
      <c r="M833" t="s">
        <v>72</v>
      </c>
      <c r="R833" t="s">
        <v>306</v>
      </c>
      <c r="S833" t="s">
        <v>6849</v>
      </c>
      <c r="T833" t="s">
        <v>111</v>
      </c>
      <c r="U833" t="s">
        <v>73</v>
      </c>
      <c r="V833" t="str">
        <f>"14620"</f>
        <v>14620</v>
      </c>
      <c r="AC833" t="s">
        <v>75</v>
      </c>
      <c r="AD833" t="s">
        <v>72</v>
      </c>
      <c r="AE833" t="s">
        <v>93</v>
      </c>
      <c r="AF833" t="s">
        <v>4879</v>
      </c>
      <c r="AG833" t="s">
        <v>77</v>
      </c>
    </row>
    <row r="834" spans="1:33" x14ac:dyDescent="0.25">
      <c r="A834" t="str">
        <f>"1861729410"</f>
        <v>1861729410</v>
      </c>
      <c r="C834" t="s">
        <v>6845</v>
      </c>
      <c r="G834" t="s">
        <v>6846</v>
      </c>
      <c r="H834" t="s">
        <v>6847</v>
      </c>
      <c r="I834">
        <v>110</v>
      </c>
      <c r="J834" t="s">
        <v>6848</v>
      </c>
      <c r="K834" t="s">
        <v>89</v>
      </c>
      <c r="L834" t="s">
        <v>92</v>
      </c>
      <c r="M834" t="s">
        <v>72</v>
      </c>
      <c r="R834" t="s">
        <v>306</v>
      </c>
      <c r="S834" t="s">
        <v>273</v>
      </c>
      <c r="T834" t="s">
        <v>111</v>
      </c>
      <c r="U834" t="s">
        <v>73</v>
      </c>
      <c r="V834" t="str">
        <f>"146201662"</f>
        <v>146201662</v>
      </c>
      <c r="AC834" t="s">
        <v>75</v>
      </c>
      <c r="AD834" t="s">
        <v>72</v>
      </c>
      <c r="AE834" t="s">
        <v>93</v>
      </c>
      <c r="AF834" t="s">
        <v>4879</v>
      </c>
      <c r="AG834" t="s">
        <v>77</v>
      </c>
    </row>
    <row r="835" spans="1:33" x14ac:dyDescent="0.25">
      <c r="A835" t="str">
        <f>"1689901233"</f>
        <v>1689901233</v>
      </c>
      <c r="C835" t="s">
        <v>6845</v>
      </c>
      <c r="G835" t="s">
        <v>6846</v>
      </c>
      <c r="H835" t="s">
        <v>6847</v>
      </c>
      <c r="I835">
        <v>110</v>
      </c>
      <c r="J835" t="s">
        <v>6848</v>
      </c>
      <c r="K835" t="s">
        <v>89</v>
      </c>
      <c r="L835" t="s">
        <v>92</v>
      </c>
      <c r="M835" t="s">
        <v>72</v>
      </c>
      <c r="R835" t="s">
        <v>306</v>
      </c>
      <c r="S835" t="s">
        <v>273</v>
      </c>
      <c r="T835" t="s">
        <v>111</v>
      </c>
      <c r="U835" t="s">
        <v>73</v>
      </c>
      <c r="V835" t="str">
        <f>"146201662"</f>
        <v>146201662</v>
      </c>
      <c r="AC835" t="s">
        <v>75</v>
      </c>
      <c r="AD835" t="s">
        <v>72</v>
      </c>
      <c r="AE835" t="s">
        <v>93</v>
      </c>
      <c r="AF835" t="s">
        <v>4879</v>
      </c>
      <c r="AG835" t="s">
        <v>77</v>
      </c>
    </row>
    <row r="836" spans="1:33" x14ac:dyDescent="0.25">
      <c r="A836" t="str">
        <f>"1124355771"</f>
        <v>1124355771</v>
      </c>
      <c r="C836" t="s">
        <v>6845</v>
      </c>
      <c r="G836" t="s">
        <v>6846</v>
      </c>
      <c r="H836" t="s">
        <v>6847</v>
      </c>
      <c r="I836">
        <v>110</v>
      </c>
      <c r="J836" t="s">
        <v>6848</v>
      </c>
      <c r="K836" t="s">
        <v>89</v>
      </c>
      <c r="L836" t="s">
        <v>92</v>
      </c>
      <c r="M836" t="s">
        <v>72</v>
      </c>
      <c r="R836" t="s">
        <v>306</v>
      </c>
      <c r="S836" t="s">
        <v>273</v>
      </c>
      <c r="T836" t="s">
        <v>111</v>
      </c>
      <c r="U836" t="s">
        <v>73</v>
      </c>
      <c r="V836" t="str">
        <f>"146201662"</f>
        <v>146201662</v>
      </c>
      <c r="AC836" t="s">
        <v>75</v>
      </c>
      <c r="AD836" t="s">
        <v>72</v>
      </c>
      <c r="AE836" t="s">
        <v>93</v>
      </c>
      <c r="AF836" t="s">
        <v>4879</v>
      </c>
      <c r="AG836" t="s">
        <v>77</v>
      </c>
    </row>
    <row r="837" spans="1:33" x14ac:dyDescent="0.25">
      <c r="A837" t="str">
        <f>"1225365877"</f>
        <v>1225365877</v>
      </c>
      <c r="C837" t="s">
        <v>6845</v>
      </c>
      <c r="G837" t="s">
        <v>6846</v>
      </c>
      <c r="H837" t="s">
        <v>6847</v>
      </c>
      <c r="I837">
        <v>110</v>
      </c>
      <c r="J837" t="s">
        <v>6848</v>
      </c>
      <c r="K837" t="s">
        <v>89</v>
      </c>
      <c r="L837" t="s">
        <v>92</v>
      </c>
      <c r="M837" t="s">
        <v>72</v>
      </c>
      <c r="R837" t="s">
        <v>306</v>
      </c>
      <c r="S837" t="s">
        <v>273</v>
      </c>
      <c r="T837" t="s">
        <v>111</v>
      </c>
      <c r="U837" t="s">
        <v>73</v>
      </c>
      <c r="V837" t="str">
        <f>"146201662"</f>
        <v>146201662</v>
      </c>
      <c r="AC837" t="s">
        <v>75</v>
      </c>
      <c r="AD837" t="s">
        <v>72</v>
      </c>
      <c r="AE837" t="s">
        <v>93</v>
      </c>
      <c r="AF837" t="s">
        <v>4879</v>
      </c>
      <c r="AG837" t="s">
        <v>77</v>
      </c>
    </row>
    <row r="838" spans="1:33" x14ac:dyDescent="0.25">
      <c r="A838" t="str">
        <f>"1407183049"</f>
        <v>1407183049</v>
      </c>
      <c r="C838" t="s">
        <v>6845</v>
      </c>
      <c r="G838" t="s">
        <v>6846</v>
      </c>
      <c r="H838" t="s">
        <v>6847</v>
      </c>
      <c r="I838">
        <v>110</v>
      </c>
      <c r="J838" t="s">
        <v>6848</v>
      </c>
      <c r="K838" t="s">
        <v>89</v>
      </c>
      <c r="L838" t="s">
        <v>92</v>
      </c>
      <c r="M838" t="s">
        <v>72</v>
      </c>
      <c r="R838" t="s">
        <v>306</v>
      </c>
      <c r="S838" t="s">
        <v>273</v>
      </c>
      <c r="T838" t="s">
        <v>111</v>
      </c>
      <c r="U838" t="s">
        <v>73</v>
      </c>
      <c r="V838" t="str">
        <f>"146201662"</f>
        <v>146201662</v>
      </c>
      <c r="AC838" t="s">
        <v>75</v>
      </c>
      <c r="AD838" t="s">
        <v>72</v>
      </c>
      <c r="AE838" t="s">
        <v>93</v>
      </c>
      <c r="AF838" t="s">
        <v>4879</v>
      </c>
      <c r="AG838" t="s">
        <v>77</v>
      </c>
    </row>
    <row r="839" spans="1:33" x14ac:dyDescent="0.25">
      <c r="A839" t="str">
        <f>"1801958202"</f>
        <v>1801958202</v>
      </c>
      <c r="B839" t="str">
        <f>"00713819"</f>
        <v>00713819</v>
      </c>
      <c r="C839" t="s">
        <v>6850</v>
      </c>
      <c r="D839" t="s">
        <v>3723</v>
      </c>
      <c r="E839" t="s">
        <v>3724</v>
      </c>
      <c r="G839" t="s">
        <v>4887</v>
      </c>
      <c r="H839" t="s">
        <v>789</v>
      </c>
      <c r="J839" t="s">
        <v>4888</v>
      </c>
      <c r="L839" t="s">
        <v>79</v>
      </c>
      <c r="M839" t="s">
        <v>72</v>
      </c>
      <c r="R839" t="s">
        <v>3725</v>
      </c>
      <c r="W839" t="s">
        <v>3724</v>
      </c>
      <c r="X839" t="s">
        <v>3726</v>
      </c>
      <c r="Y839" t="s">
        <v>117</v>
      </c>
      <c r="Z839" t="s">
        <v>73</v>
      </c>
      <c r="AA839" t="str">
        <f>"14209-1120"</f>
        <v>14209-1120</v>
      </c>
      <c r="AB839" t="s">
        <v>74</v>
      </c>
      <c r="AC839" t="s">
        <v>75</v>
      </c>
      <c r="AD839" t="s">
        <v>72</v>
      </c>
      <c r="AE839" t="s">
        <v>76</v>
      </c>
      <c r="AF839" t="s">
        <v>3974</v>
      </c>
      <c r="AG839" t="s">
        <v>77</v>
      </c>
    </row>
    <row r="840" spans="1:33" x14ac:dyDescent="0.25">
      <c r="A840" t="str">
        <f>"1568523058"</f>
        <v>1568523058</v>
      </c>
      <c r="B840" t="str">
        <f>"02830880"</f>
        <v>02830880</v>
      </c>
      <c r="C840" t="s">
        <v>6851</v>
      </c>
      <c r="D840" t="s">
        <v>1662</v>
      </c>
      <c r="E840" t="s">
        <v>1663</v>
      </c>
      <c r="G840" t="s">
        <v>5164</v>
      </c>
      <c r="H840" t="s">
        <v>5165</v>
      </c>
      <c r="J840" t="s">
        <v>5166</v>
      </c>
      <c r="L840" t="s">
        <v>79</v>
      </c>
      <c r="M840" t="s">
        <v>72</v>
      </c>
      <c r="R840" t="s">
        <v>1664</v>
      </c>
      <c r="W840" t="s">
        <v>1663</v>
      </c>
      <c r="X840" t="s">
        <v>243</v>
      </c>
      <c r="Y840" t="s">
        <v>117</v>
      </c>
      <c r="Z840" t="s">
        <v>73</v>
      </c>
      <c r="AA840" t="str">
        <f>"14203-1126"</f>
        <v>14203-1126</v>
      </c>
      <c r="AB840" t="s">
        <v>74</v>
      </c>
      <c r="AC840" t="s">
        <v>75</v>
      </c>
      <c r="AD840" t="s">
        <v>72</v>
      </c>
      <c r="AE840" t="s">
        <v>76</v>
      </c>
      <c r="AG840" t="s">
        <v>77</v>
      </c>
    </row>
    <row r="841" spans="1:33" x14ac:dyDescent="0.25">
      <c r="A841" t="str">
        <f>"1982604468"</f>
        <v>1982604468</v>
      </c>
      <c r="B841" t="str">
        <f>"00928890"</f>
        <v>00928890</v>
      </c>
      <c r="C841" t="s">
        <v>6852</v>
      </c>
      <c r="D841" t="s">
        <v>3635</v>
      </c>
      <c r="E841" t="s">
        <v>3636</v>
      </c>
      <c r="G841" t="s">
        <v>6852</v>
      </c>
      <c r="H841" t="s">
        <v>3637</v>
      </c>
      <c r="J841" t="s">
        <v>6853</v>
      </c>
      <c r="L841" t="s">
        <v>80</v>
      </c>
      <c r="M841" t="s">
        <v>72</v>
      </c>
      <c r="R841" t="s">
        <v>3638</v>
      </c>
      <c r="W841" t="s">
        <v>3636</v>
      </c>
      <c r="X841" t="s">
        <v>3639</v>
      </c>
      <c r="Y841" t="s">
        <v>209</v>
      </c>
      <c r="Z841" t="s">
        <v>73</v>
      </c>
      <c r="AA841" t="str">
        <f>"14301-1922"</f>
        <v>14301-1922</v>
      </c>
      <c r="AB841" t="s">
        <v>74</v>
      </c>
      <c r="AC841" t="s">
        <v>75</v>
      </c>
      <c r="AD841" t="s">
        <v>72</v>
      </c>
      <c r="AE841" t="s">
        <v>76</v>
      </c>
      <c r="AF841" t="s">
        <v>3961</v>
      </c>
      <c r="AG841" t="s">
        <v>77</v>
      </c>
    </row>
    <row r="842" spans="1:33" x14ac:dyDescent="0.25">
      <c r="A842" t="str">
        <f>"1326091489"</f>
        <v>1326091489</v>
      </c>
      <c r="B842" t="str">
        <f>"00824828"</f>
        <v>00824828</v>
      </c>
      <c r="C842" t="s">
        <v>6854</v>
      </c>
      <c r="D842" t="s">
        <v>6855</v>
      </c>
      <c r="E842" t="s">
        <v>6856</v>
      </c>
      <c r="G842" t="s">
        <v>6854</v>
      </c>
      <c r="H842" t="s">
        <v>5755</v>
      </c>
      <c r="J842" t="s">
        <v>6857</v>
      </c>
      <c r="L842" t="s">
        <v>79</v>
      </c>
      <c r="M842" t="s">
        <v>72</v>
      </c>
      <c r="R842" t="s">
        <v>6858</v>
      </c>
      <c r="W842" t="s">
        <v>6856</v>
      </c>
      <c r="Y842" t="s">
        <v>221</v>
      </c>
      <c r="Z842" t="s">
        <v>73</v>
      </c>
      <c r="AA842" t="str">
        <f>"14221-3099"</f>
        <v>14221-3099</v>
      </c>
      <c r="AB842" t="s">
        <v>74</v>
      </c>
      <c r="AC842" t="s">
        <v>75</v>
      </c>
      <c r="AD842" t="s">
        <v>72</v>
      </c>
      <c r="AE842" t="s">
        <v>76</v>
      </c>
      <c r="AF842" t="s">
        <v>3974</v>
      </c>
      <c r="AG842" t="s">
        <v>77</v>
      </c>
    </row>
    <row r="843" spans="1:33" x14ac:dyDescent="0.25">
      <c r="A843" t="str">
        <f>"1346455755"</f>
        <v>1346455755</v>
      </c>
      <c r="B843" t="str">
        <f>"03552307"</f>
        <v>03552307</v>
      </c>
      <c r="C843" t="s">
        <v>6859</v>
      </c>
      <c r="D843" t="s">
        <v>1496</v>
      </c>
      <c r="E843" t="s">
        <v>1497</v>
      </c>
      <c r="G843" t="s">
        <v>4017</v>
      </c>
      <c r="H843" t="s">
        <v>597</v>
      </c>
      <c r="J843" t="s">
        <v>4018</v>
      </c>
      <c r="L843" t="s">
        <v>71</v>
      </c>
      <c r="M843" t="s">
        <v>72</v>
      </c>
      <c r="R843" t="s">
        <v>1498</v>
      </c>
      <c r="W843" t="s">
        <v>1497</v>
      </c>
      <c r="X843" t="s">
        <v>1320</v>
      </c>
      <c r="Y843" t="s">
        <v>117</v>
      </c>
      <c r="Z843" t="s">
        <v>73</v>
      </c>
      <c r="AA843" t="str">
        <f>"14215-1145"</f>
        <v>14215-1145</v>
      </c>
      <c r="AB843" t="s">
        <v>74</v>
      </c>
      <c r="AC843" t="s">
        <v>75</v>
      </c>
      <c r="AD843" t="s">
        <v>72</v>
      </c>
      <c r="AE843" t="s">
        <v>76</v>
      </c>
      <c r="AF843" t="s">
        <v>3974</v>
      </c>
      <c r="AG843" t="s">
        <v>77</v>
      </c>
    </row>
    <row r="844" spans="1:33" x14ac:dyDescent="0.25">
      <c r="A844" t="str">
        <f>"1831136829"</f>
        <v>1831136829</v>
      </c>
      <c r="B844" t="str">
        <f>"03038759"</f>
        <v>03038759</v>
      </c>
      <c r="C844" t="s">
        <v>6860</v>
      </c>
      <c r="D844" t="s">
        <v>6861</v>
      </c>
      <c r="E844" t="s">
        <v>6862</v>
      </c>
      <c r="L844" t="s">
        <v>79</v>
      </c>
      <c r="M844" t="s">
        <v>72</v>
      </c>
      <c r="R844" t="s">
        <v>6863</v>
      </c>
      <c r="W844" t="s">
        <v>6864</v>
      </c>
      <c r="X844" t="s">
        <v>204</v>
      </c>
      <c r="Y844" t="s">
        <v>117</v>
      </c>
      <c r="Z844" t="s">
        <v>73</v>
      </c>
      <c r="AA844" t="str">
        <f>"14263-0001"</f>
        <v>14263-0001</v>
      </c>
      <c r="AB844" t="s">
        <v>74</v>
      </c>
      <c r="AC844" t="s">
        <v>75</v>
      </c>
      <c r="AD844" t="s">
        <v>72</v>
      </c>
      <c r="AE844" t="s">
        <v>76</v>
      </c>
      <c r="AF844" t="s">
        <v>4043</v>
      </c>
      <c r="AG844" t="s">
        <v>77</v>
      </c>
    </row>
    <row r="845" spans="1:33" x14ac:dyDescent="0.25">
      <c r="A845" t="str">
        <f>"1497736607"</f>
        <v>1497736607</v>
      </c>
      <c r="B845" t="str">
        <f>"01266004"</f>
        <v>01266004</v>
      </c>
      <c r="C845" t="s">
        <v>6865</v>
      </c>
      <c r="D845" t="s">
        <v>6866</v>
      </c>
      <c r="E845" t="s">
        <v>6867</v>
      </c>
      <c r="L845" t="s">
        <v>79</v>
      </c>
      <c r="M845" t="s">
        <v>72</v>
      </c>
      <c r="R845" t="s">
        <v>6868</v>
      </c>
      <c r="W845" t="s">
        <v>6867</v>
      </c>
      <c r="X845" t="s">
        <v>3318</v>
      </c>
      <c r="Y845" t="s">
        <v>247</v>
      </c>
      <c r="Z845" t="s">
        <v>73</v>
      </c>
      <c r="AA845" t="str">
        <f>"14225-1080"</f>
        <v>14225-1080</v>
      </c>
      <c r="AB845" t="s">
        <v>74</v>
      </c>
      <c r="AC845" t="s">
        <v>75</v>
      </c>
      <c r="AD845" t="s">
        <v>72</v>
      </c>
      <c r="AE845" t="s">
        <v>76</v>
      </c>
      <c r="AF845" t="s">
        <v>4043</v>
      </c>
      <c r="AG845" t="s">
        <v>77</v>
      </c>
    </row>
    <row r="846" spans="1:33" x14ac:dyDescent="0.25">
      <c r="A846" t="str">
        <f>"1417191081"</f>
        <v>1417191081</v>
      </c>
      <c r="B846" t="str">
        <f>"03420679"</f>
        <v>03420679</v>
      </c>
      <c r="C846" t="s">
        <v>6869</v>
      </c>
      <c r="D846" t="s">
        <v>6870</v>
      </c>
      <c r="E846" t="s">
        <v>6871</v>
      </c>
      <c r="L846" t="s">
        <v>71</v>
      </c>
      <c r="M846" t="s">
        <v>72</v>
      </c>
      <c r="R846" t="s">
        <v>6872</v>
      </c>
      <c r="W846" t="s">
        <v>6871</v>
      </c>
      <c r="X846" t="s">
        <v>204</v>
      </c>
      <c r="Y846" t="s">
        <v>117</v>
      </c>
      <c r="Z846" t="s">
        <v>73</v>
      </c>
      <c r="AA846" t="str">
        <f>"14263-0001"</f>
        <v>14263-0001</v>
      </c>
      <c r="AB846" t="s">
        <v>74</v>
      </c>
      <c r="AC846" t="s">
        <v>75</v>
      </c>
      <c r="AD846" t="s">
        <v>72</v>
      </c>
      <c r="AE846" t="s">
        <v>76</v>
      </c>
      <c r="AF846" t="s">
        <v>4043</v>
      </c>
      <c r="AG846" t="s">
        <v>77</v>
      </c>
    </row>
    <row r="847" spans="1:33" x14ac:dyDescent="0.25">
      <c r="A847" t="str">
        <f>"1386625598"</f>
        <v>1386625598</v>
      </c>
      <c r="B847" t="str">
        <f>"02432002"</f>
        <v>02432002</v>
      </c>
      <c r="C847" t="s">
        <v>6873</v>
      </c>
      <c r="D847" t="s">
        <v>1080</v>
      </c>
      <c r="E847" t="s">
        <v>1081</v>
      </c>
      <c r="L847" t="s">
        <v>79</v>
      </c>
      <c r="M847" t="s">
        <v>72</v>
      </c>
      <c r="R847" t="s">
        <v>1082</v>
      </c>
      <c r="W847" t="s">
        <v>1081</v>
      </c>
      <c r="X847" t="s">
        <v>204</v>
      </c>
      <c r="Y847" t="s">
        <v>117</v>
      </c>
      <c r="Z847" t="s">
        <v>73</v>
      </c>
      <c r="AA847" t="str">
        <f>"14263-0001"</f>
        <v>14263-0001</v>
      </c>
      <c r="AB847" t="s">
        <v>74</v>
      </c>
      <c r="AC847" t="s">
        <v>75</v>
      </c>
      <c r="AD847" t="s">
        <v>72</v>
      </c>
      <c r="AE847" t="s">
        <v>76</v>
      </c>
      <c r="AF847" t="s">
        <v>4043</v>
      </c>
      <c r="AG847" t="s">
        <v>77</v>
      </c>
    </row>
    <row r="848" spans="1:33" x14ac:dyDescent="0.25">
      <c r="A848" t="str">
        <f>"1083695001"</f>
        <v>1083695001</v>
      </c>
      <c r="B848" t="str">
        <f>"01510778"</f>
        <v>01510778</v>
      </c>
      <c r="C848" t="s">
        <v>6874</v>
      </c>
      <c r="D848" t="s">
        <v>3009</v>
      </c>
      <c r="E848" t="s">
        <v>3010</v>
      </c>
      <c r="L848" t="s">
        <v>79</v>
      </c>
      <c r="M848" t="s">
        <v>72</v>
      </c>
      <c r="W848" t="s">
        <v>3010</v>
      </c>
      <c r="X848" t="s">
        <v>3011</v>
      </c>
      <c r="Y848" t="s">
        <v>117</v>
      </c>
      <c r="Z848" t="s">
        <v>73</v>
      </c>
      <c r="AA848" t="str">
        <f>"14263-0001"</f>
        <v>14263-0001</v>
      </c>
      <c r="AB848" t="s">
        <v>74</v>
      </c>
      <c r="AC848" t="s">
        <v>75</v>
      </c>
      <c r="AD848" t="s">
        <v>72</v>
      </c>
      <c r="AE848" t="s">
        <v>76</v>
      </c>
      <c r="AF848" t="s">
        <v>4043</v>
      </c>
      <c r="AG848" t="s">
        <v>77</v>
      </c>
    </row>
    <row r="849" spans="1:33" x14ac:dyDescent="0.25">
      <c r="A849" t="str">
        <f>"1487603783"</f>
        <v>1487603783</v>
      </c>
      <c r="B849" t="str">
        <f>"00854224"</f>
        <v>00854224</v>
      </c>
      <c r="C849" t="s">
        <v>6875</v>
      </c>
      <c r="D849" t="s">
        <v>6876</v>
      </c>
      <c r="E849" t="s">
        <v>6877</v>
      </c>
      <c r="G849" t="s">
        <v>4883</v>
      </c>
      <c r="H849" t="s">
        <v>5619</v>
      </c>
      <c r="J849" t="s">
        <v>5620</v>
      </c>
      <c r="L849" t="s">
        <v>79</v>
      </c>
      <c r="M849" t="s">
        <v>72</v>
      </c>
      <c r="R849" t="s">
        <v>6878</v>
      </c>
      <c r="W849" t="s">
        <v>6877</v>
      </c>
      <c r="X849" t="s">
        <v>301</v>
      </c>
      <c r="Y849" t="s">
        <v>117</v>
      </c>
      <c r="Z849" t="s">
        <v>73</v>
      </c>
      <c r="AA849" t="str">
        <f>"14214-2648"</f>
        <v>14214-2648</v>
      </c>
      <c r="AB849" t="s">
        <v>74</v>
      </c>
      <c r="AC849" t="s">
        <v>75</v>
      </c>
      <c r="AD849" t="s">
        <v>72</v>
      </c>
      <c r="AE849" t="s">
        <v>76</v>
      </c>
      <c r="AF849" t="s">
        <v>3974</v>
      </c>
      <c r="AG849" t="s">
        <v>77</v>
      </c>
    </row>
    <row r="850" spans="1:33" x14ac:dyDescent="0.25">
      <c r="A850" t="str">
        <f>"1316012560"</f>
        <v>1316012560</v>
      </c>
      <c r="B850" t="str">
        <f>"02876713"</f>
        <v>02876713</v>
      </c>
      <c r="C850" t="s">
        <v>6879</v>
      </c>
      <c r="D850" t="s">
        <v>6880</v>
      </c>
      <c r="E850" t="s">
        <v>6881</v>
      </c>
      <c r="G850" t="s">
        <v>5327</v>
      </c>
      <c r="H850" t="s">
        <v>579</v>
      </c>
      <c r="J850" t="s">
        <v>5328</v>
      </c>
      <c r="L850" t="s">
        <v>80</v>
      </c>
      <c r="M850" t="s">
        <v>72</v>
      </c>
      <c r="R850" t="s">
        <v>6882</v>
      </c>
      <c r="W850" t="s">
        <v>6883</v>
      </c>
      <c r="X850" t="s">
        <v>6884</v>
      </c>
      <c r="Y850" t="s">
        <v>221</v>
      </c>
      <c r="Z850" t="s">
        <v>73</v>
      </c>
      <c r="AA850" t="str">
        <f>"14221-6800"</f>
        <v>14221-6800</v>
      </c>
      <c r="AB850" t="s">
        <v>74</v>
      </c>
      <c r="AC850" t="s">
        <v>75</v>
      </c>
      <c r="AD850" t="s">
        <v>72</v>
      </c>
      <c r="AE850" t="s">
        <v>76</v>
      </c>
      <c r="AF850" t="s">
        <v>3961</v>
      </c>
      <c r="AG850" t="s">
        <v>77</v>
      </c>
    </row>
    <row r="851" spans="1:33" x14ac:dyDescent="0.25">
      <c r="A851" t="str">
        <f>"1205807575"</f>
        <v>1205807575</v>
      </c>
      <c r="B851" t="str">
        <f>"01600339"</f>
        <v>01600339</v>
      </c>
      <c r="C851" t="s">
        <v>6885</v>
      </c>
      <c r="D851" t="s">
        <v>2225</v>
      </c>
      <c r="E851" t="s">
        <v>2226</v>
      </c>
      <c r="G851" t="s">
        <v>3988</v>
      </c>
      <c r="H851" t="s">
        <v>1302</v>
      </c>
      <c r="J851" t="s">
        <v>3989</v>
      </c>
      <c r="L851" t="s">
        <v>79</v>
      </c>
      <c r="M851" t="s">
        <v>72</v>
      </c>
      <c r="R851" t="s">
        <v>2227</v>
      </c>
      <c r="W851" t="s">
        <v>2226</v>
      </c>
      <c r="X851" t="s">
        <v>1529</v>
      </c>
      <c r="Y851" t="s">
        <v>221</v>
      </c>
      <c r="Z851" t="s">
        <v>73</v>
      </c>
      <c r="AA851" t="str">
        <f>"14221-7717"</f>
        <v>14221-7717</v>
      </c>
      <c r="AB851" t="s">
        <v>74</v>
      </c>
      <c r="AC851" t="s">
        <v>75</v>
      </c>
      <c r="AD851" t="s">
        <v>72</v>
      </c>
      <c r="AE851" t="s">
        <v>76</v>
      </c>
      <c r="AF851" t="s">
        <v>3974</v>
      </c>
      <c r="AG851" t="s">
        <v>77</v>
      </c>
    </row>
    <row r="852" spans="1:33" x14ac:dyDescent="0.25">
      <c r="A852" t="str">
        <f>"1073511424"</f>
        <v>1073511424</v>
      </c>
      <c r="B852" t="str">
        <f>"00722330"</f>
        <v>00722330</v>
      </c>
      <c r="C852" t="s">
        <v>6886</v>
      </c>
      <c r="D852" t="s">
        <v>6887</v>
      </c>
      <c r="E852" t="s">
        <v>6888</v>
      </c>
      <c r="G852" t="s">
        <v>5351</v>
      </c>
      <c r="H852" t="s">
        <v>5352</v>
      </c>
      <c r="J852" t="s">
        <v>5353</v>
      </c>
      <c r="L852" t="s">
        <v>80</v>
      </c>
      <c r="M852" t="s">
        <v>72</v>
      </c>
      <c r="R852" t="s">
        <v>6889</v>
      </c>
      <c r="W852" t="s">
        <v>6888</v>
      </c>
      <c r="X852" t="s">
        <v>6890</v>
      </c>
      <c r="Y852" t="s">
        <v>242</v>
      </c>
      <c r="Z852" t="s">
        <v>73</v>
      </c>
      <c r="AA852" t="str">
        <f>"14701"</f>
        <v>14701</v>
      </c>
      <c r="AB852" t="s">
        <v>74</v>
      </c>
      <c r="AC852" t="s">
        <v>75</v>
      </c>
      <c r="AD852" t="s">
        <v>72</v>
      </c>
      <c r="AE852" t="s">
        <v>76</v>
      </c>
      <c r="AF852" t="s">
        <v>4049</v>
      </c>
      <c r="AG852" t="s">
        <v>77</v>
      </c>
    </row>
    <row r="853" spans="1:33" x14ac:dyDescent="0.25">
      <c r="A853" t="str">
        <f>"1205962982"</f>
        <v>1205962982</v>
      </c>
      <c r="B853" t="str">
        <f>"00590189"</f>
        <v>00590189</v>
      </c>
      <c r="C853" t="s">
        <v>6891</v>
      </c>
      <c r="D853" t="s">
        <v>3184</v>
      </c>
      <c r="E853" t="s">
        <v>3185</v>
      </c>
      <c r="G853" t="s">
        <v>6892</v>
      </c>
      <c r="H853" t="s">
        <v>3186</v>
      </c>
      <c r="J853" t="s">
        <v>6893</v>
      </c>
      <c r="L853" t="s">
        <v>71</v>
      </c>
      <c r="M853" t="s">
        <v>72</v>
      </c>
      <c r="R853" t="s">
        <v>3187</v>
      </c>
      <c r="W853" t="s">
        <v>3185</v>
      </c>
      <c r="X853" t="s">
        <v>3188</v>
      </c>
      <c r="Y853" t="s">
        <v>240</v>
      </c>
      <c r="Z853" t="s">
        <v>73</v>
      </c>
      <c r="AA853" t="str">
        <f>"14094-3835"</f>
        <v>14094-3835</v>
      </c>
      <c r="AB853" t="s">
        <v>74</v>
      </c>
      <c r="AC853" t="s">
        <v>75</v>
      </c>
      <c r="AD853" t="s">
        <v>72</v>
      </c>
      <c r="AE853" t="s">
        <v>76</v>
      </c>
      <c r="AF853" t="s">
        <v>4043</v>
      </c>
      <c r="AG853" t="s">
        <v>77</v>
      </c>
    </row>
    <row r="854" spans="1:33" x14ac:dyDescent="0.25">
      <c r="A854" t="str">
        <f>"1922039213"</f>
        <v>1922039213</v>
      </c>
      <c r="B854" t="str">
        <f>"01886057"</f>
        <v>01886057</v>
      </c>
      <c r="C854" t="s">
        <v>6894</v>
      </c>
      <c r="D854" t="s">
        <v>3355</v>
      </c>
      <c r="E854" t="s">
        <v>3356</v>
      </c>
      <c r="G854" t="s">
        <v>6895</v>
      </c>
      <c r="H854" t="s">
        <v>6896</v>
      </c>
      <c r="J854" t="s">
        <v>6897</v>
      </c>
      <c r="L854" t="s">
        <v>80</v>
      </c>
      <c r="M854" t="s">
        <v>72</v>
      </c>
      <c r="R854" t="s">
        <v>3358</v>
      </c>
      <c r="W854" t="s">
        <v>3356</v>
      </c>
      <c r="X854" t="s">
        <v>3359</v>
      </c>
      <c r="Y854" t="s">
        <v>117</v>
      </c>
      <c r="Z854" t="s">
        <v>73</v>
      </c>
      <c r="AA854" t="str">
        <f>"14209-1606"</f>
        <v>14209-1606</v>
      </c>
      <c r="AB854" t="s">
        <v>74</v>
      </c>
      <c r="AC854" t="s">
        <v>75</v>
      </c>
      <c r="AD854" t="s">
        <v>72</v>
      </c>
      <c r="AE854" t="s">
        <v>76</v>
      </c>
      <c r="AG854" t="s">
        <v>77</v>
      </c>
    </row>
    <row r="855" spans="1:33" x14ac:dyDescent="0.25">
      <c r="A855" t="str">
        <f>"1003887811"</f>
        <v>1003887811</v>
      </c>
      <c r="B855" t="str">
        <f>"01981933"</f>
        <v>01981933</v>
      </c>
      <c r="C855" t="s">
        <v>6898</v>
      </c>
      <c r="D855" t="s">
        <v>2791</v>
      </c>
      <c r="E855" t="s">
        <v>2792</v>
      </c>
      <c r="G855" t="s">
        <v>5297</v>
      </c>
      <c r="H855" t="s">
        <v>2793</v>
      </c>
      <c r="J855" t="s">
        <v>5298</v>
      </c>
      <c r="L855" t="s">
        <v>79</v>
      </c>
      <c r="M855" t="s">
        <v>72</v>
      </c>
      <c r="R855" t="s">
        <v>2794</v>
      </c>
      <c r="W855" t="s">
        <v>2792</v>
      </c>
      <c r="X855" t="s">
        <v>2698</v>
      </c>
      <c r="Y855" t="s">
        <v>117</v>
      </c>
      <c r="Z855" t="s">
        <v>73</v>
      </c>
      <c r="AA855" t="str">
        <f>"14214-2693"</f>
        <v>14214-2693</v>
      </c>
      <c r="AB855" t="s">
        <v>74</v>
      </c>
      <c r="AC855" t="s">
        <v>75</v>
      </c>
      <c r="AD855" t="s">
        <v>72</v>
      </c>
      <c r="AE855" t="s">
        <v>76</v>
      </c>
      <c r="AF855" t="s">
        <v>3974</v>
      </c>
      <c r="AG855" t="s">
        <v>77</v>
      </c>
    </row>
    <row r="856" spans="1:33" x14ac:dyDescent="0.25">
      <c r="A856" t="str">
        <f>"1073558557"</f>
        <v>1073558557</v>
      </c>
      <c r="B856" t="str">
        <f>"02827521"</f>
        <v>02827521</v>
      </c>
      <c r="C856" t="s">
        <v>6899</v>
      </c>
      <c r="D856" t="s">
        <v>6900</v>
      </c>
      <c r="E856" t="s">
        <v>6901</v>
      </c>
      <c r="G856" t="s">
        <v>6902</v>
      </c>
      <c r="H856" t="s">
        <v>6903</v>
      </c>
      <c r="J856" t="s">
        <v>6904</v>
      </c>
      <c r="L856" t="s">
        <v>79</v>
      </c>
      <c r="M856" t="s">
        <v>72</v>
      </c>
      <c r="R856" t="s">
        <v>6901</v>
      </c>
      <c r="W856" t="s">
        <v>6905</v>
      </c>
      <c r="X856" t="s">
        <v>204</v>
      </c>
      <c r="Y856" t="s">
        <v>117</v>
      </c>
      <c r="Z856" t="s">
        <v>73</v>
      </c>
      <c r="AA856" t="str">
        <f>"14263-0001"</f>
        <v>14263-0001</v>
      </c>
      <c r="AB856" t="s">
        <v>74</v>
      </c>
      <c r="AC856" t="s">
        <v>75</v>
      </c>
      <c r="AD856" t="s">
        <v>72</v>
      </c>
      <c r="AE856" t="s">
        <v>76</v>
      </c>
      <c r="AF856" t="s">
        <v>3974</v>
      </c>
      <c r="AG856" t="s">
        <v>77</v>
      </c>
    </row>
    <row r="857" spans="1:33" x14ac:dyDescent="0.25">
      <c r="A857" t="str">
        <f>"1235114349"</f>
        <v>1235114349</v>
      </c>
      <c r="B857" t="str">
        <f>"02047092"</f>
        <v>02047092</v>
      </c>
      <c r="C857" t="s">
        <v>6906</v>
      </c>
      <c r="D857" t="s">
        <v>6907</v>
      </c>
      <c r="E857" t="s">
        <v>6908</v>
      </c>
      <c r="G857" t="s">
        <v>5010</v>
      </c>
      <c r="H857" t="s">
        <v>1119</v>
      </c>
      <c r="J857" t="s">
        <v>5011</v>
      </c>
      <c r="L857" t="s">
        <v>79</v>
      </c>
      <c r="M857" t="s">
        <v>72</v>
      </c>
      <c r="R857" t="s">
        <v>6909</v>
      </c>
      <c r="W857" t="s">
        <v>6908</v>
      </c>
      <c r="X857" t="s">
        <v>3836</v>
      </c>
      <c r="Y857" t="s">
        <v>117</v>
      </c>
      <c r="Z857" t="s">
        <v>73</v>
      </c>
      <c r="AA857" t="str">
        <f>"14215-3098"</f>
        <v>14215-3098</v>
      </c>
      <c r="AB857" t="s">
        <v>74</v>
      </c>
      <c r="AC857" t="s">
        <v>75</v>
      </c>
      <c r="AD857" t="s">
        <v>72</v>
      </c>
      <c r="AE857" t="s">
        <v>76</v>
      </c>
      <c r="AF857" t="s">
        <v>3974</v>
      </c>
      <c r="AG857" t="s">
        <v>77</v>
      </c>
    </row>
    <row r="858" spans="1:33" x14ac:dyDescent="0.25">
      <c r="A858" t="str">
        <f>"1346219847"</f>
        <v>1346219847</v>
      </c>
      <c r="B858" t="str">
        <f>"01169933"</f>
        <v>01169933</v>
      </c>
      <c r="C858" t="s">
        <v>6910</v>
      </c>
      <c r="D858" t="s">
        <v>3159</v>
      </c>
      <c r="E858" t="s">
        <v>3160</v>
      </c>
      <c r="G858" t="s">
        <v>6910</v>
      </c>
      <c r="H858" t="s">
        <v>6911</v>
      </c>
      <c r="J858" t="s">
        <v>6912</v>
      </c>
      <c r="L858" t="s">
        <v>79</v>
      </c>
      <c r="M858" t="s">
        <v>72</v>
      </c>
      <c r="R858" t="s">
        <v>3161</v>
      </c>
      <c r="W858" t="s">
        <v>3160</v>
      </c>
      <c r="X858" t="s">
        <v>3162</v>
      </c>
      <c r="Y858" t="s">
        <v>117</v>
      </c>
      <c r="Z858" t="s">
        <v>73</v>
      </c>
      <c r="AA858" t="str">
        <f>"14214-2648"</f>
        <v>14214-2648</v>
      </c>
      <c r="AB858" t="s">
        <v>74</v>
      </c>
      <c r="AC858" t="s">
        <v>75</v>
      </c>
      <c r="AD858" t="s">
        <v>72</v>
      </c>
      <c r="AE858" t="s">
        <v>76</v>
      </c>
      <c r="AF858" t="s">
        <v>3961</v>
      </c>
      <c r="AG858" t="s">
        <v>77</v>
      </c>
    </row>
    <row r="859" spans="1:33" x14ac:dyDescent="0.25">
      <c r="A859" t="str">
        <f>"1871549048"</f>
        <v>1871549048</v>
      </c>
      <c r="B859" t="str">
        <f>"02702936"</f>
        <v>02702936</v>
      </c>
      <c r="C859" t="s">
        <v>6913</v>
      </c>
      <c r="D859" t="s">
        <v>6914</v>
      </c>
      <c r="E859" t="s">
        <v>6915</v>
      </c>
      <c r="L859" t="s">
        <v>79</v>
      </c>
      <c r="M859" t="s">
        <v>72</v>
      </c>
      <c r="R859" t="s">
        <v>6916</v>
      </c>
      <c r="W859" t="s">
        <v>6915</v>
      </c>
      <c r="X859" t="s">
        <v>234</v>
      </c>
      <c r="Y859" t="s">
        <v>117</v>
      </c>
      <c r="Z859" t="s">
        <v>73</v>
      </c>
      <c r="AA859" t="str">
        <f>"14220-2039"</f>
        <v>14220-2039</v>
      </c>
      <c r="AB859" t="s">
        <v>74</v>
      </c>
      <c r="AC859" t="s">
        <v>75</v>
      </c>
      <c r="AD859" t="s">
        <v>72</v>
      </c>
      <c r="AE859" t="s">
        <v>76</v>
      </c>
      <c r="AF859" t="s">
        <v>3961</v>
      </c>
      <c r="AG859" t="s">
        <v>77</v>
      </c>
    </row>
    <row r="860" spans="1:33" x14ac:dyDescent="0.25">
      <c r="A860" t="str">
        <f>"1649580762"</f>
        <v>1649580762</v>
      </c>
      <c r="B860" t="str">
        <f>"03738823"</f>
        <v>03738823</v>
      </c>
      <c r="C860" t="s">
        <v>6917</v>
      </c>
      <c r="D860" t="s">
        <v>1543</v>
      </c>
      <c r="E860" t="s">
        <v>1544</v>
      </c>
      <c r="G860" t="s">
        <v>5402</v>
      </c>
      <c r="H860" t="s">
        <v>877</v>
      </c>
      <c r="J860" t="s">
        <v>5403</v>
      </c>
      <c r="L860" t="s">
        <v>79</v>
      </c>
      <c r="M860" t="s">
        <v>72</v>
      </c>
      <c r="R860" t="s">
        <v>1545</v>
      </c>
      <c r="W860" t="s">
        <v>1544</v>
      </c>
      <c r="X860" t="s">
        <v>1546</v>
      </c>
      <c r="Y860" t="s">
        <v>1130</v>
      </c>
      <c r="Z860" t="s">
        <v>73</v>
      </c>
      <c r="AA860" t="str">
        <f>"14136-1452"</f>
        <v>14136-1452</v>
      </c>
      <c r="AB860" t="s">
        <v>74</v>
      </c>
      <c r="AC860" t="s">
        <v>75</v>
      </c>
      <c r="AD860" t="s">
        <v>72</v>
      </c>
      <c r="AE860" t="s">
        <v>76</v>
      </c>
      <c r="AF860" t="s">
        <v>4049</v>
      </c>
      <c r="AG860" t="s">
        <v>77</v>
      </c>
    </row>
    <row r="861" spans="1:33" x14ac:dyDescent="0.25">
      <c r="A861" t="str">
        <f>"1356346795"</f>
        <v>1356346795</v>
      </c>
      <c r="B861" t="str">
        <f>"00503466"</f>
        <v>00503466</v>
      </c>
      <c r="C861" t="s">
        <v>6918</v>
      </c>
      <c r="D861" t="s">
        <v>6919</v>
      </c>
      <c r="E861" t="s">
        <v>6920</v>
      </c>
      <c r="G861" t="s">
        <v>6081</v>
      </c>
      <c r="H861" t="s">
        <v>6769</v>
      </c>
      <c r="J861" t="s">
        <v>6770</v>
      </c>
      <c r="L861" t="s">
        <v>79</v>
      </c>
      <c r="M861" t="s">
        <v>72</v>
      </c>
      <c r="R861" t="s">
        <v>6921</v>
      </c>
      <c r="W861" t="s">
        <v>6920</v>
      </c>
      <c r="X861" t="s">
        <v>6922</v>
      </c>
      <c r="Y861" t="s">
        <v>247</v>
      </c>
      <c r="Z861" t="s">
        <v>73</v>
      </c>
      <c r="AA861" t="str">
        <f>"14225-2500"</f>
        <v>14225-2500</v>
      </c>
      <c r="AB861" t="s">
        <v>74</v>
      </c>
      <c r="AC861" t="s">
        <v>75</v>
      </c>
      <c r="AD861" t="s">
        <v>72</v>
      </c>
      <c r="AE861" t="s">
        <v>76</v>
      </c>
      <c r="AF861" t="s">
        <v>3974</v>
      </c>
      <c r="AG861" t="s">
        <v>77</v>
      </c>
    </row>
    <row r="862" spans="1:33" x14ac:dyDescent="0.25">
      <c r="A862" t="str">
        <f>"1710936463"</f>
        <v>1710936463</v>
      </c>
      <c r="B862" t="str">
        <f>"00648251"</f>
        <v>00648251</v>
      </c>
      <c r="C862" t="s">
        <v>6923</v>
      </c>
      <c r="D862" t="s">
        <v>2645</v>
      </c>
      <c r="E862" t="s">
        <v>155</v>
      </c>
      <c r="G862" t="s">
        <v>6923</v>
      </c>
      <c r="H862" t="s">
        <v>1131</v>
      </c>
      <c r="J862" t="s">
        <v>6924</v>
      </c>
      <c r="L862" t="s">
        <v>79</v>
      </c>
      <c r="M862" t="s">
        <v>72</v>
      </c>
      <c r="R862" t="s">
        <v>154</v>
      </c>
      <c r="W862" t="s">
        <v>155</v>
      </c>
      <c r="X862" t="s">
        <v>219</v>
      </c>
      <c r="Y862" t="s">
        <v>117</v>
      </c>
      <c r="Z862" t="s">
        <v>73</v>
      </c>
      <c r="AA862" t="str">
        <f>"14203-1149"</f>
        <v>14203-1149</v>
      </c>
      <c r="AB862" t="s">
        <v>74</v>
      </c>
      <c r="AC862" t="s">
        <v>75</v>
      </c>
      <c r="AD862" t="s">
        <v>72</v>
      </c>
      <c r="AE862" t="s">
        <v>76</v>
      </c>
      <c r="AG862" t="s">
        <v>77</v>
      </c>
    </row>
    <row r="863" spans="1:33" x14ac:dyDescent="0.25">
      <c r="A863" t="str">
        <f>"1881009579"</f>
        <v>1881009579</v>
      </c>
      <c r="C863" t="s">
        <v>6925</v>
      </c>
      <c r="K863" t="s">
        <v>89</v>
      </c>
      <c r="L863" t="s">
        <v>92</v>
      </c>
      <c r="M863" t="s">
        <v>72</v>
      </c>
      <c r="R863" t="s">
        <v>6926</v>
      </c>
      <c r="S863" t="s">
        <v>385</v>
      </c>
      <c r="T863" t="s">
        <v>228</v>
      </c>
      <c r="U863" t="s">
        <v>73</v>
      </c>
      <c r="V863" t="str">
        <f>"142261738"</f>
        <v>142261738</v>
      </c>
      <c r="AC863" t="s">
        <v>75</v>
      </c>
      <c r="AD863" t="s">
        <v>72</v>
      </c>
      <c r="AE863" t="s">
        <v>93</v>
      </c>
      <c r="AF863" t="s">
        <v>3974</v>
      </c>
      <c r="AG863" t="s">
        <v>77</v>
      </c>
    </row>
    <row r="864" spans="1:33" x14ac:dyDescent="0.25">
      <c r="A864" t="str">
        <f>"1548223076"</f>
        <v>1548223076</v>
      </c>
      <c r="B864" t="str">
        <f>"02429270"</f>
        <v>02429270</v>
      </c>
      <c r="C864" t="s">
        <v>6927</v>
      </c>
      <c r="D864" t="s">
        <v>822</v>
      </c>
      <c r="E864" t="s">
        <v>823</v>
      </c>
      <c r="L864" t="s">
        <v>71</v>
      </c>
      <c r="M864" t="s">
        <v>72</v>
      </c>
      <c r="R864" t="s">
        <v>824</v>
      </c>
      <c r="W864" t="s">
        <v>823</v>
      </c>
      <c r="X864" t="s">
        <v>825</v>
      </c>
      <c r="Y864" t="s">
        <v>392</v>
      </c>
      <c r="Z864" t="s">
        <v>73</v>
      </c>
      <c r="AA864" t="str">
        <f>"14120"</f>
        <v>14120</v>
      </c>
      <c r="AB864" t="s">
        <v>74</v>
      </c>
      <c r="AC864" t="s">
        <v>75</v>
      </c>
      <c r="AD864" t="s">
        <v>72</v>
      </c>
      <c r="AE864" t="s">
        <v>76</v>
      </c>
      <c r="AF864" t="s">
        <v>3974</v>
      </c>
      <c r="AG864" t="s">
        <v>77</v>
      </c>
    </row>
    <row r="865" spans="1:33" x14ac:dyDescent="0.25">
      <c r="A865" t="str">
        <f>"1386814572"</f>
        <v>1386814572</v>
      </c>
      <c r="B865" t="str">
        <f>"03055158"</f>
        <v>03055158</v>
      </c>
      <c r="C865" t="s">
        <v>6928</v>
      </c>
      <c r="D865" t="s">
        <v>6929</v>
      </c>
      <c r="E865" t="s">
        <v>6930</v>
      </c>
      <c r="L865" t="s">
        <v>79</v>
      </c>
      <c r="M865" t="s">
        <v>72</v>
      </c>
      <c r="R865" t="s">
        <v>6931</v>
      </c>
      <c r="W865" t="s">
        <v>6930</v>
      </c>
      <c r="X865" t="s">
        <v>1684</v>
      </c>
      <c r="Y865" t="s">
        <v>247</v>
      </c>
      <c r="Z865" t="s">
        <v>73</v>
      </c>
      <c r="AA865" t="str">
        <f>"14225-4031"</f>
        <v>14225-4031</v>
      </c>
      <c r="AB865" t="s">
        <v>74</v>
      </c>
      <c r="AC865" t="s">
        <v>75</v>
      </c>
      <c r="AD865" t="s">
        <v>72</v>
      </c>
      <c r="AE865" t="s">
        <v>76</v>
      </c>
      <c r="AF865" t="s">
        <v>3974</v>
      </c>
      <c r="AG865" t="s">
        <v>77</v>
      </c>
    </row>
    <row r="866" spans="1:33" x14ac:dyDescent="0.25">
      <c r="A866" t="str">
        <f>"1376748640"</f>
        <v>1376748640</v>
      </c>
      <c r="B866" t="str">
        <f>"02883232"</f>
        <v>02883232</v>
      </c>
      <c r="C866" t="s">
        <v>6932</v>
      </c>
      <c r="D866" t="s">
        <v>1560</v>
      </c>
      <c r="E866" t="s">
        <v>1561</v>
      </c>
      <c r="L866" t="s">
        <v>79</v>
      </c>
      <c r="M866" t="s">
        <v>72</v>
      </c>
      <c r="R866" t="s">
        <v>1562</v>
      </c>
      <c r="W866" t="s">
        <v>1561</v>
      </c>
      <c r="X866" t="s">
        <v>1563</v>
      </c>
      <c r="Y866" t="s">
        <v>228</v>
      </c>
      <c r="Z866" t="s">
        <v>73</v>
      </c>
      <c r="AA866" t="str">
        <f>"14226-5102"</f>
        <v>14226-5102</v>
      </c>
      <c r="AB866" t="s">
        <v>74</v>
      </c>
      <c r="AC866" t="s">
        <v>75</v>
      </c>
      <c r="AD866" t="s">
        <v>72</v>
      </c>
      <c r="AE866" t="s">
        <v>76</v>
      </c>
      <c r="AF866" t="s">
        <v>3974</v>
      </c>
      <c r="AG866" t="s">
        <v>77</v>
      </c>
    </row>
    <row r="867" spans="1:33" x14ac:dyDescent="0.25">
      <c r="A867" t="str">
        <f>"1861779191"</f>
        <v>1861779191</v>
      </c>
      <c r="B867" t="str">
        <f>"03416162"</f>
        <v>03416162</v>
      </c>
      <c r="C867" t="s">
        <v>6933</v>
      </c>
      <c r="D867" t="s">
        <v>6934</v>
      </c>
      <c r="E867" t="s">
        <v>6935</v>
      </c>
      <c r="L867" t="s">
        <v>79</v>
      </c>
      <c r="M867" t="s">
        <v>72</v>
      </c>
      <c r="R867" t="s">
        <v>6936</v>
      </c>
      <c r="W867" t="s">
        <v>6937</v>
      </c>
      <c r="X867" t="s">
        <v>295</v>
      </c>
      <c r="Y867" t="s">
        <v>117</v>
      </c>
      <c r="Z867" t="s">
        <v>73</v>
      </c>
      <c r="AA867" t="str">
        <f>"14215-3021"</f>
        <v>14215-3021</v>
      </c>
      <c r="AB867" t="s">
        <v>74</v>
      </c>
      <c r="AC867" t="s">
        <v>75</v>
      </c>
      <c r="AD867" t="s">
        <v>72</v>
      </c>
      <c r="AE867" t="s">
        <v>76</v>
      </c>
      <c r="AF867" t="s">
        <v>3961</v>
      </c>
      <c r="AG867" t="s">
        <v>77</v>
      </c>
    </row>
    <row r="868" spans="1:33" x14ac:dyDescent="0.25">
      <c r="A868" t="str">
        <f>"1245400126"</f>
        <v>1245400126</v>
      </c>
      <c r="B868" t="str">
        <f>"03075587"</f>
        <v>03075587</v>
      </c>
      <c r="C868" t="s">
        <v>6938</v>
      </c>
      <c r="D868" t="s">
        <v>6939</v>
      </c>
      <c r="E868" t="s">
        <v>6940</v>
      </c>
      <c r="L868" t="s">
        <v>79</v>
      </c>
      <c r="M868" t="s">
        <v>72</v>
      </c>
      <c r="R868" t="s">
        <v>6941</v>
      </c>
      <c r="W868" t="s">
        <v>6942</v>
      </c>
      <c r="X868" t="s">
        <v>1087</v>
      </c>
      <c r="Y868" t="s">
        <v>326</v>
      </c>
      <c r="Z868" t="s">
        <v>73</v>
      </c>
      <c r="AA868" t="str">
        <f>"14127-1963"</f>
        <v>14127-1963</v>
      </c>
      <c r="AB868" t="s">
        <v>74</v>
      </c>
      <c r="AC868" t="s">
        <v>75</v>
      </c>
      <c r="AD868" t="s">
        <v>72</v>
      </c>
      <c r="AE868" t="s">
        <v>76</v>
      </c>
      <c r="AF868" t="s">
        <v>3961</v>
      </c>
      <c r="AG868" t="s">
        <v>77</v>
      </c>
    </row>
    <row r="869" spans="1:33" x14ac:dyDescent="0.25">
      <c r="A869" t="str">
        <f>"1396700712"</f>
        <v>1396700712</v>
      </c>
      <c r="B869" t="str">
        <f>"02504736"</f>
        <v>02504736</v>
      </c>
      <c r="C869" t="s">
        <v>6943</v>
      </c>
      <c r="D869" t="s">
        <v>6944</v>
      </c>
      <c r="E869" t="s">
        <v>6945</v>
      </c>
      <c r="L869" t="s">
        <v>79</v>
      </c>
      <c r="M869" t="s">
        <v>72</v>
      </c>
      <c r="R869" t="s">
        <v>6946</v>
      </c>
      <c r="W869" t="s">
        <v>6945</v>
      </c>
      <c r="X869" t="s">
        <v>3391</v>
      </c>
      <c r="Y869" t="s">
        <v>117</v>
      </c>
      <c r="Z869" t="s">
        <v>73</v>
      </c>
      <c r="AA869" t="str">
        <f>"14203-1252"</f>
        <v>14203-1252</v>
      </c>
      <c r="AB869" t="s">
        <v>74</v>
      </c>
      <c r="AC869" t="s">
        <v>75</v>
      </c>
      <c r="AD869" t="s">
        <v>72</v>
      </c>
      <c r="AE869" t="s">
        <v>76</v>
      </c>
      <c r="AF869" t="s">
        <v>3961</v>
      </c>
      <c r="AG869" t="s">
        <v>77</v>
      </c>
    </row>
    <row r="870" spans="1:33" x14ac:dyDescent="0.25">
      <c r="A870" t="str">
        <f>"1518086206"</f>
        <v>1518086206</v>
      </c>
      <c r="B870" t="str">
        <f>"02861118"</f>
        <v>02861118</v>
      </c>
      <c r="C870" t="s">
        <v>6947</v>
      </c>
      <c r="D870" t="s">
        <v>1672</v>
      </c>
      <c r="E870" t="s">
        <v>1673</v>
      </c>
      <c r="L870" t="s">
        <v>71</v>
      </c>
      <c r="M870" t="s">
        <v>72</v>
      </c>
      <c r="R870" t="s">
        <v>1674</v>
      </c>
      <c r="W870" t="s">
        <v>1673</v>
      </c>
      <c r="X870" t="s">
        <v>393</v>
      </c>
      <c r="Y870" t="s">
        <v>117</v>
      </c>
      <c r="Z870" t="s">
        <v>73</v>
      </c>
      <c r="AA870" t="str">
        <f>"14226-1727"</f>
        <v>14226-1727</v>
      </c>
      <c r="AB870" t="s">
        <v>74</v>
      </c>
      <c r="AC870" t="s">
        <v>75</v>
      </c>
      <c r="AD870" t="s">
        <v>72</v>
      </c>
      <c r="AE870" t="s">
        <v>76</v>
      </c>
      <c r="AF870" t="s">
        <v>3974</v>
      </c>
      <c r="AG870" t="s">
        <v>77</v>
      </c>
    </row>
    <row r="871" spans="1:33" x14ac:dyDescent="0.25">
      <c r="A871" t="str">
        <f>"1780724310"</f>
        <v>1780724310</v>
      </c>
      <c r="B871" t="str">
        <f>"02851485"</f>
        <v>02851485</v>
      </c>
      <c r="C871" t="s">
        <v>6948</v>
      </c>
      <c r="D871" t="s">
        <v>6949</v>
      </c>
      <c r="E871" t="s">
        <v>6950</v>
      </c>
      <c r="L871" t="s">
        <v>71</v>
      </c>
      <c r="M871" t="s">
        <v>72</v>
      </c>
      <c r="R871" t="s">
        <v>6951</v>
      </c>
      <c r="W871" t="s">
        <v>6952</v>
      </c>
      <c r="X871" t="s">
        <v>5955</v>
      </c>
      <c r="Y871" t="s">
        <v>237</v>
      </c>
      <c r="Z871" t="s">
        <v>73</v>
      </c>
      <c r="AA871" t="str">
        <f>"14224-3332"</f>
        <v>14224-3332</v>
      </c>
      <c r="AB871" t="s">
        <v>74</v>
      </c>
      <c r="AC871" t="s">
        <v>75</v>
      </c>
      <c r="AD871" t="s">
        <v>72</v>
      </c>
      <c r="AE871" t="s">
        <v>76</v>
      </c>
      <c r="AF871" t="s">
        <v>3974</v>
      </c>
      <c r="AG871" t="s">
        <v>77</v>
      </c>
    </row>
    <row r="872" spans="1:33" x14ac:dyDescent="0.25">
      <c r="A872" t="str">
        <f>"1548496847"</f>
        <v>1548496847</v>
      </c>
      <c r="B872" t="str">
        <f>"03645750"</f>
        <v>03645750</v>
      </c>
      <c r="C872" t="s">
        <v>6953</v>
      </c>
      <c r="D872" t="s">
        <v>6954</v>
      </c>
      <c r="E872" t="s">
        <v>6955</v>
      </c>
      <c r="G872" t="s">
        <v>5509</v>
      </c>
      <c r="H872" t="s">
        <v>5510</v>
      </c>
      <c r="J872" t="s">
        <v>5511</v>
      </c>
      <c r="L872" t="s">
        <v>79</v>
      </c>
      <c r="M872" t="s">
        <v>72</v>
      </c>
      <c r="R872" t="s">
        <v>6956</v>
      </c>
      <c r="W872" t="s">
        <v>6955</v>
      </c>
      <c r="X872" t="s">
        <v>301</v>
      </c>
      <c r="Y872" t="s">
        <v>117</v>
      </c>
      <c r="Z872" t="s">
        <v>73</v>
      </c>
      <c r="AA872" t="str">
        <f>"14214-2648"</f>
        <v>14214-2648</v>
      </c>
      <c r="AB872" t="s">
        <v>74</v>
      </c>
      <c r="AC872" t="s">
        <v>75</v>
      </c>
      <c r="AD872" t="s">
        <v>72</v>
      </c>
      <c r="AE872" t="s">
        <v>76</v>
      </c>
      <c r="AF872" t="s">
        <v>3961</v>
      </c>
      <c r="AG872" t="s">
        <v>77</v>
      </c>
    </row>
    <row r="873" spans="1:33" x14ac:dyDescent="0.25">
      <c r="A873" t="str">
        <f>"1326005430"</f>
        <v>1326005430</v>
      </c>
      <c r="B873" t="str">
        <f>"02574798"</f>
        <v>02574798</v>
      </c>
      <c r="C873" t="s">
        <v>6957</v>
      </c>
      <c r="D873" t="s">
        <v>6958</v>
      </c>
      <c r="E873" t="s">
        <v>6959</v>
      </c>
      <c r="G873" t="s">
        <v>6960</v>
      </c>
      <c r="H873" t="s">
        <v>6961</v>
      </c>
      <c r="J873" t="s">
        <v>6962</v>
      </c>
      <c r="L873" t="s">
        <v>80</v>
      </c>
      <c r="M873" t="s">
        <v>72</v>
      </c>
      <c r="R873" t="s">
        <v>6963</v>
      </c>
      <c r="W873" t="s">
        <v>6959</v>
      </c>
      <c r="X873" t="s">
        <v>158</v>
      </c>
      <c r="Y873" t="s">
        <v>188</v>
      </c>
      <c r="Z873" t="s">
        <v>73</v>
      </c>
      <c r="AA873" t="str">
        <f>"14092-1953"</f>
        <v>14092-1953</v>
      </c>
      <c r="AB873" t="s">
        <v>74</v>
      </c>
      <c r="AC873" t="s">
        <v>75</v>
      </c>
      <c r="AD873" t="s">
        <v>72</v>
      </c>
      <c r="AE873" t="s">
        <v>76</v>
      </c>
      <c r="AF873" t="s">
        <v>3961</v>
      </c>
      <c r="AG873" t="s">
        <v>77</v>
      </c>
    </row>
    <row r="874" spans="1:33" x14ac:dyDescent="0.25">
      <c r="A874" t="str">
        <f>"1386615987"</f>
        <v>1386615987</v>
      </c>
      <c r="B874" t="str">
        <f>"01280102"</f>
        <v>01280102</v>
      </c>
      <c r="C874" t="s">
        <v>6964</v>
      </c>
      <c r="D874" t="s">
        <v>6965</v>
      </c>
      <c r="E874" t="s">
        <v>6966</v>
      </c>
      <c r="G874" t="s">
        <v>6964</v>
      </c>
      <c r="H874" t="s">
        <v>4732</v>
      </c>
      <c r="J874" t="s">
        <v>6967</v>
      </c>
      <c r="L874" t="s">
        <v>79</v>
      </c>
      <c r="M874" t="s">
        <v>72</v>
      </c>
      <c r="R874" t="s">
        <v>6968</v>
      </c>
      <c r="W874" t="s">
        <v>6966</v>
      </c>
      <c r="X874" t="s">
        <v>6969</v>
      </c>
      <c r="Y874" t="s">
        <v>317</v>
      </c>
      <c r="Z874" t="s">
        <v>73</v>
      </c>
      <c r="AA874" t="str">
        <f>"14218"</f>
        <v>14218</v>
      </c>
      <c r="AB874" t="s">
        <v>74</v>
      </c>
      <c r="AC874" t="s">
        <v>75</v>
      </c>
      <c r="AD874" t="s">
        <v>72</v>
      </c>
      <c r="AE874" t="s">
        <v>76</v>
      </c>
      <c r="AF874" t="s">
        <v>3974</v>
      </c>
      <c r="AG874" t="s">
        <v>77</v>
      </c>
    </row>
    <row r="875" spans="1:33" x14ac:dyDescent="0.25">
      <c r="A875" t="str">
        <f>"1356523062"</f>
        <v>1356523062</v>
      </c>
      <c r="B875" t="str">
        <f>"01198594"</f>
        <v>01198594</v>
      </c>
      <c r="C875" t="s">
        <v>6970</v>
      </c>
      <c r="D875" t="s">
        <v>1055</v>
      </c>
      <c r="E875" t="s">
        <v>1056</v>
      </c>
      <c r="G875" t="s">
        <v>6971</v>
      </c>
      <c r="H875" t="s">
        <v>1057</v>
      </c>
      <c r="J875" t="s">
        <v>6972</v>
      </c>
      <c r="L875" t="s">
        <v>79</v>
      </c>
      <c r="M875" t="s">
        <v>72</v>
      </c>
      <c r="R875" t="s">
        <v>1058</v>
      </c>
      <c r="W875" t="s">
        <v>1056</v>
      </c>
      <c r="X875" t="s">
        <v>747</v>
      </c>
      <c r="Y875" t="s">
        <v>117</v>
      </c>
      <c r="Z875" t="s">
        <v>73</v>
      </c>
      <c r="AA875" t="str">
        <f>"14207-1816"</f>
        <v>14207-1816</v>
      </c>
      <c r="AB875" t="s">
        <v>113</v>
      </c>
      <c r="AC875" t="s">
        <v>75</v>
      </c>
      <c r="AD875" t="s">
        <v>72</v>
      </c>
      <c r="AE875" t="s">
        <v>76</v>
      </c>
      <c r="AF875" t="s">
        <v>3974</v>
      </c>
      <c r="AG875" t="s">
        <v>77</v>
      </c>
    </row>
    <row r="876" spans="1:33" x14ac:dyDescent="0.25">
      <c r="A876" t="str">
        <f>"1952367252"</f>
        <v>1952367252</v>
      </c>
      <c r="B876" t="str">
        <f>"01050375"</f>
        <v>01050375</v>
      </c>
      <c r="C876" t="s">
        <v>6973</v>
      </c>
      <c r="D876" t="s">
        <v>1213</v>
      </c>
      <c r="E876" t="s">
        <v>1214</v>
      </c>
      <c r="G876" t="s">
        <v>6973</v>
      </c>
      <c r="H876" t="s">
        <v>1131</v>
      </c>
      <c r="J876" t="s">
        <v>6974</v>
      </c>
      <c r="L876" t="s">
        <v>79</v>
      </c>
      <c r="M876" t="s">
        <v>72</v>
      </c>
      <c r="R876" t="s">
        <v>1215</v>
      </c>
      <c r="W876" t="s">
        <v>1216</v>
      </c>
      <c r="X876" t="s">
        <v>169</v>
      </c>
      <c r="Y876" t="s">
        <v>117</v>
      </c>
      <c r="Z876" t="s">
        <v>73</v>
      </c>
      <c r="AA876" t="str">
        <f>"14209-1120"</f>
        <v>14209-1120</v>
      </c>
      <c r="AB876" t="s">
        <v>74</v>
      </c>
      <c r="AC876" t="s">
        <v>75</v>
      </c>
      <c r="AD876" t="s">
        <v>72</v>
      </c>
      <c r="AE876" t="s">
        <v>76</v>
      </c>
      <c r="AG876" t="s">
        <v>77</v>
      </c>
    </row>
    <row r="877" spans="1:33" x14ac:dyDescent="0.25">
      <c r="A877" t="str">
        <f>"1093725665"</f>
        <v>1093725665</v>
      </c>
      <c r="B877" t="str">
        <f>"00833087"</f>
        <v>00833087</v>
      </c>
      <c r="C877" t="s">
        <v>6975</v>
      </c>
      <c r="D877" t="s">
        <v>2551</v>
      </c>
      <c r="E877" t="s">
        <v>2552</v>
      </c>
      <c r="G877" t="s">
        <v>6976</v>
      </c>
      <c r="H877" t="s">
        <v>2553</v>
      </c>
      <c r="J877" t="s">
        <v>6977</v>
      </c>
      <c r="L877" t="s">
        <v>71</v>
      </c>
      <c r="M877" t="s">
        <v>72</v>
      </c>
      <c r="R877" t="s">
        <v>2554</v>
      </c>
      <c r="W877" t="s">
        <v>2555</v>
      </c>
      <c r="X877" t="s">
        <v>2556</v>
      </c>
      <c r="Y877" t="s">
        <v>221</v>
      </c>
      <c r="Z877" t="s">
        <v>73</v>
      </c>
      <c r="AA877" t="str">
        <f>"14221-5726"</f>
        <v>14221-5726</v>
      </c>
      <c r="AB877" t="s">
        <v>74</v>
      </c>
      <c r="AC877" t="s">
        <v>75</v>
      </c>
      <c r="AD877" t="s">
        <v>72</v>
      </c>
      <c r="AE877" t="s">
        <v>76</v>
      </c>
      <c r="AF877" t="s">
        <v>3974</v>
      </c>
      <c r="AG877" t="s">
        <v>77</v>
      </c>
    </row>
    <row r="878" spans="1:33" x14ac:dyDescent="0.25">
      <c r="A878" t="str">
        <f>"1437169547"</f>
        <v>1437169547</v>
      </c>
      <c r="B878" t="str">
        <f>"00854059"</f>
        <v>00854059</v>
      </c>
      <c r="C878" t="s">
        <v>6978</v>
      </c>
      <c r="D878" t="s">
        <v>6979</v>
      </c>
      <c r="E878" t="s">
        <v>6980</v>
      </c>
      <c r="G878" t="s">
        <v>6978</v>
      </c>
      <c r="H878" t="s">
        <v>6981</v>
      </c>
      <c r="J878" t="s">
        <v>6982</v>
      </c>
      <c r="L878" t="s">
        <v>79</v>
      </c>
      <c r="M878" t="s">
        <v>72</v>
      </c>
      <c r="R878" t="s">
        <v>6983</v>
      </c>
      <c r="W878" t="s">
        <v>6980</v>
      </c>
      <c r="X878" t="s">
        <v>6984</v>
      </c>
      <c r="Y878" t="s">
        <v>326</v>
      </c>
      <c r="Z878" t="s">
        <v>73</v>
      </c>
      <c r="AA878" t="str">
        <f>"14127"</f>
        <v>14127</v>
      </c>
      <c r="AB878" t="s">
        <v>74</v>
      </c>
      <c r="AC878" t="s">
        <v>75</v>
      </c>
      <c r="AD878" t="s">
        <v>72</v>
      </c>
      <c r="AE878" t="s">
        <v>76</v>
      </c>
      <c r="AF878" t="s">
        <v>3974</v>
      </c>
      <c r="AG878" t="s">
        <v>77</v>
      </c>
    </row>
    <row r="879" spans="1:33" x14ac:dyDescent="0.25">
      <c r="A879" t="str">
        <f>"1457337388"</f>
        <v>1457337388</v>
      </c>
      <c r="B879" t="str">
        <f>"01241487"</f>
        <v>01241487</v>
      </c>
      <c r="C879" t="s">
        <v>6985</v>
      </c>
      <c r="D879" t="s">
        <v>1108</v>
      </c>
      <c r="E879" t="s">
        <v>1109</v>
      </c>
      <c r="G879" t="s">
        <v>4014</v>
      </c>
      <c r="H879" t="s">
        <v>750</v>
      </c>
      <c r="J879" t="s">
        <v>4015</v>
      </c>
      <c r="L879" t="s">
        <v>79</v>
      </c>
      <c r="M879" t="s">
        <v>72</v>
      </c>
      <c r="R879" t="s">
        <v>1110</v>
      </c>
      <c r="W879" t="s">
        <v>1109</v>
      </c>
      <c r="X879" t="s">
        <v>267</v>
      </c>
      <c r="Y879" t="s">
        <v>209</v>
      </c>
      <c r="Z879" t="s">
        <v>73</v>
      </c>
      <c r="AA879" t="str">
        <f>"14304-3080"</f>
        <v>14304-3080</v>
      </c>
      <c r="AB879" t="s">
        <v>74</v>
      </c>
      <c r="AC879" t="s">
        <v>75</v>
      </c>
      <c r="AD879" t="s">
        <v>72</v>
      </c>
      <c r="AE879" t="s">
        <v>76</v>
      </c>
      <c r="AF879" t="s">
        <v>3974</v>
      </c>
      <c r="AG879" t="s">
        <v>77</v>
      </c>
    </row>
    <row r="880" spans="1:33" x14ac:dyDescent="0.25">
      <c r="A880" t="str">
        <f>"1154311157"</f>
        <v>1154311157</v>
      </c>
      <c r="B880" t="str">
        <f>"01200251"</f>
        <v>01200251</v>
      </c>
      <c r="C880" t="s">
        <v>6986</v>
      </c>
      <c r="D880" t="s">
        <v>6987</v>
      </c>
      <c r="E880" t="s">
        <v>6988</v>
      </c>
      <c r="G880" t="s">
        <v>5931</v>
      </c>
      <c r="H880" t="s">
        <v>5932</v>
      </c>
      <c r="J880" t="s">
        <v>5933</v>
      </c>
      <c r="L880" t="s">
        <v>79</v>
      </c>
      <c r="M880" t="s">
        <v>72</v>
      </c>
      <c r="R880" t="s">
        <v>6989</v>
      </c>
      <c r="W880" t="s">
        <v>6988</v>
      </c>
      <c r="X880" t="s">
        <v>6990</v>
      </c>
      <c r="Y880" t="s">
        <v>111</v>
      </c>
      <c r="Z880" t="s">
        <v>73</v>
      </c>
      <c r="AA880" t="str">
        <f>"14626-4117"</f>
        <v>14626-4117</v>
      </c>
      <c r="AB880" t="s">
        <v>74</v>
      </c>
      <c r="AC880" t="s">
        <v>75</v>
      </c>
      <c r="AD880" t="s">
        <v>72</v>
      </c>
      <c r="AE880" t="s">
        <v>76</v>
      </c>
      <c r="AF880" t="s">
        <v>3974</v>
      </c>
      <c r="AG880" t="s">
        <v>77</v>
      </c>
    </row>
    <row r="881" spans="1:33" x14ac:dyDescent="0.25">
      <c r="A881" t="str">
        <f>"1225095003"</f>
        <v>1225095003</v>
      </c>
      <c r="B881" t="str">
        <f>"02039247"</f>
        <v>02039247</v>
      </c>
      <c r="C881" t="s">
        <v>6991</v>
      </c>
      <c r="D881" t="s">
        <v>6992</v>
      </c>
      <c r="E881" t="s">
        <v>6993</v>
      </c>
      <c r="G881" t="s">
        <v>6991</v>
      </c>
      <c r="H881" t="s">
        <v>6994</v>
      </c>
      <c r="J881" t="s">
        <v>6995</v>
      </c>
      <c r="L881" t="s">
        <v>80</v>
      </c>
      <c r="M881" t="s">
        <v>72</v>
      </c>
      <c r="R881" t="s">
        <v>6996</v>
      </c>
      <c r="W881" t="s">
        <v>6993</v>
      </c>
      <c r="X881" t="s">
        <v>586</v>
      </c>
      <c r="Y881" t="s">
        <v>533</v>
      </c>
      <c r="Z881" t="s">
        <v>73</v>
      </c>
      <c r="AA881" t="str">
        <f>"14059-9634"</f>
        <v>14059-9634</v>
      </c>
      <c r="AB881" t="s">
        <v>74</v>
      </c>
      <c r="AC881" t="s">
        <v>75</v>
      </c>
      <c r="AD881" t="s">
        <v>72</v>
      </c>
      <c r="AE881" t="s">
        <v>76</v>
      </c>
      <c r="AG881" t="s">
        <v>77</v>
      </c>
    </row>
    <row r="882" spans="1:33" x14ac:dyDescent="0.25">
      <c r="A882" t="str">
        <f>"1245221274"</f>
        <v>1245221274</v>
      </c>
      <c r="B882" t="str">
        <f>"00764392"</f>
        <v>00764392</v>
      </c>
      <c r="C882" t="s">
        <v>6997</v>
      </c>
      <c r="D882" t="s">
        <v>2828</v>
      </c>
      <c r="E882" t="s">
        <v>2829</v>
      </c>
      <c r="G882" t="s">
        <v>4637</v>
      </c>
      <c r="H882" t="s">
        <v>1532</v>
      </c>
      <c r="J882" t="s">
        <v>4638</v>
      </c>
      <c r="L882" t="s">
        <v>80</v>
      </c>
      <c r="M882" t="s">
        <v>81</v>
      </c>
      <c r="R882" t="s">
        <v>2830</v>
      </c>
      <c r="W882" t="s">
        <v>2831</v>
      </c>
      <c r="Y882" t="s">
        <v>117</v>
      </c>
      <c r="Z882" t="s">
        <v>73</v>
      </c>
      <c r="AA882" t="str">
        <f>"14203-1126"</f>
        <v>14203-1126</v>
      </c>
      <c r="AB882" t="s">
        <v>74</v>
      </c>
      <c r="AC882" t="s">
        <v>75</v>
      </c>
      <c r="AD882" t="s">
        <v>72</v>
      </c>
      <c r="AE882" t="s">
        <v>76</v>
      </c>
      <c r="AF882" t="s">
        <v>3961</v>
      </c>
      <c r="AG882" t="s">
        <v>77</v>
      </c>
    </row>
    <row r="883" spans="1:33" x14ac:dyDescent="0.25">
      <c r="A883" t="str">
        <f>"1053339622"</f>
        <v>1053339622</v>
      </c>
      <c r="B883" t="str">
        <f>"02518789"</f>
        <v>02518789</v>
      </c>
      <c r="C883" t="s">
        <v>6998</v>
      </c>
      <c r="D883" t="s">
        <v>6999</v>
      </c>
      <c r="E883" t="s">
        <v>7000</v>
      </c>
      <c r="G883" t="s">
        <v>5351</v>
      </c>
      <c r="H883" t="s">
        <v>5352</v>
      </c>
      <c r="J883" t="s">
        <v>5353</v>
      </c>
      <c r="L883" t="s">
        <v>79</v>
      </c>
      <c r="M883" t="s">
        <v>72</v>
      </c>
      <c r="R883" t="s">
        <v>7001</v>
      </c>
      <c r="W883" t="s">
        <v>7000</v>
      </c>
      <c r="X883" t="s">
        <v>289</v>
      </c>
      <c r="Y883" t="s">
        <v>242</v>
      </c>
      <c r="Z883" t="s">
        <v>73</v>
      </c>
      <c r="AA883" t="str">
        <f>"14701-7087"</f>
        <v>14701-7087</v>
      </c>
      <c r="AB883" t="s">
        <v>74</v>
      </c>
      <c r="AC883" t="s">
        <v>75</v>
      </c>
      <c r="AD883" t="s">
        <v>72</v>
      </c>
      <c r="AE883" t="s">
        <v>76</v>
      </c>
      <c r="AF883" t="s">
        <v>4049</v>
      </c>
      <c r="AG883" t="s">
        <v>77</v>
      </c>
    </row>
    <row r="884" spans="1:33" x14ac:dyDescent="0.25">
      <c r="A884" t="str">
        <f>"1952397283"</f>
        <v>1952397283</v>
      </c>
      <c r="B884" t="str">
        <f>"02560763"</f>
        <v>02560763</v>
      </c>
      <c r="C884" t="s">
        <v>7002</v>
      </c>
      <c r="D884" t="s">
        <v>7003</v>
      </c>
      <c r="E884" t="s">
        <v>7004</v>
      </c>
      <c r="G884" t="s">
        <v>7005</v>
      </c>
      <c r="H884" t="s">
        <v>2771</v>
      </c>
      <c r="J884" t="s">
        <v>7006</v>
      </c>
      <c r="L884" t="s">
        <v>80</v>
      </c>
      <c r="M884" t="s">
        <v>72</v>
      </c>
      <c r="R884" t="s">
        <v>7007</v>
      </c>
      <c r="W884" t="s">
        <v>7008</v>
      </c>
      <c r="X884" t="s">
        <v>7009</v>
      </c>
      <c r="Y884" t="s">
        <v>479</v>
      </c>
      <c r="Z884" t="s">
        <v>73</v>
      </c>
      <c r="AA884" t="str">
        <f>"14141-1244"</f>
        <v>14141-1244</v>
      </c>
      <c r="AB884" t="s">
        <v>74</v>
      </c>
      <c r="AC884" t="s">
        <v>75</v>
      </c>
      <c r="AD884" t="s">
        <v>72</v>
      </c>
      <c r="AE884" t="s">
        <v>76</v>
      </c>
      <c r="AF884" t="s">
        <v>3961</v>
      </c>
      <c r="AG884" t="s">
        <v>77</v>
      </c>
    </row>
    <row r="885" spans="1:33" x14ac:dyDescent="0.25">
      <c r="A885" t="str">
        <f>"1821091794"</f>
        <v>1821091794</v>
      </c>
      <c r="B885" t="str">
        <f>"01151248"</f>
        <v>01151248</v>
      </c>
      <c r="C885" t="s">
        <v>7010</v>
      </c>
      <c r="D885" t="s">
        <v>7011</v>
      </c>
      <c r="E885" t="s">
        <v>7012</v>
      </c>
      <c r="G885" t="s">
        <v>6602</v>
      </c>
      <c r="H885" t="s">
        <v>6603</v>
      </c>
      <c r="J885" t="s">
        <v>6604</v>
      </c>
      <c r="L885" t="s">
        <v>80</v>
      </c>
      <c r="M885" t="s">
        <v>72</v>
      </c>
      <c r="R885" t="s">
        <v>7013</v>
      </c>
      <c r="W885" t="s">
        <v>7012</v>
      </c>
      <c r="X885" t="s">
        <v>7014</v>
      </c>
      <c r="Y885" t="s">
        <v>87</v>
      </c>
      <c r="Z885" t="s">
        <v>73</v>
      </c>
      <c r="AA885" t="str">
        <f>"10011-8305"</f>
        <v>10011-8305</v>
      </c>
      <c r="AB885" t="s">
        <v>74</v>
      </c>
      <c r="AC885" t="s">
        <v>75</v>
      </c>
      <c r="AD885" t="s">
        <v>72</v>
      </c>
      <c r="AE885" t="s">
        <v>76</v>
      </c>
      <c r="AF885" t="s">
        <v>3961</v>
      </c>
      <c r="AG885" t="s">
        <v>77</v>
      </c>
    </row>
    <row r="886" spans="1:33" x14ac:dyDescent="0.25">
      <c r="A886" t="str">
        <f>"1407124837"</f>
        <v>1407124837</v>
      </c>
      <c r="C886" t="s">
        <v>7015</v>
      </c>
      <c r="G886" t="s">
        <v>193</v>
      </c>
      <c r="H886" t="s">
        <v>292</v>
      </c>
      <c r="J886" t="s">
        <v>194</v>
      </c>
      <c r="K886" t="s">
        <v>89</v>
      </c>
      <c r="L886" t="s">
        <v>92</v>
      </c>
      <c r="M886" t="s">
        <v>72</v>
      </c>
      <c r="R886" t="s">
        <v>7016</v>
      </c>
      <c r="S886" t="s">
        <v>7017</v>
      </c>
      <c r="T886" t="s">
        <v>7018</v>
      </c>
      <c r="U886" t="s">
        <v>129</v>
      </c>
      <c r="V886" t="str">
        <f>"080963007"</f>
        <v>080963007</v>
      </c>
      <c r="AC886" t="s">
        <v>75</v>
      </c>
      <c r="AD886" t="s">
        <v>72</v>
      </c>
      <c r="AE886" t="s">
        <v>93</v>
      </c>
      <c r="AF886" t="s">
        <v>4078</v>
      </c>
      <c r="AG886" t="s">
        <v>77</v>
      </c>
    </row>
    <row r="887" spans="1:33" x14ac:dyDescent="0.25">
      <c r="A887" t="str">
        <f>"1851366017"</f>
        <v>1851366017</v>
      </c>
      <c r="B887" t="str">
        <f>"02614157"</f>
        <v>02614157</v>
      </c>
      <c r="C887" t="s">
        <v>7019</v>
      </c>
      <c r="D887" t="s">
        <v>7020</v>
      </c>
      <c r="E887" t="s">
        <v>7021</v>
      </c>
      <c r="G887" t="s">
        <v>7019</v>
      </c>
      <c r="L887" t="s">
        <v>84</v>
      </c>
      <c r="M887" t="s">
        <v>72</v>
      </c>
      <c r="R887" t="s">
        <v>7022</v>
      </c>
      <c r="W887" t="s">
        <v>7023</v>
      </c>
      <c r="X887" t="s">
        <v>187</v>
      </c>
      <c r="Y887" t="s">
        <v>188</v>
      </c>
      <c r="Z887" t="s">
        <v>73</v>
      </c>
      <c r="AA887" t="str">
        <f>"14092-1903"</f>
        <v>14092-1903</v>
      </c>
      <c r="AB887" t="s">
        <v>74</v>
      </c>
      <c r="AC887" t="s">
        <v>75</v>
      </c>
      <c r="AD887" t="s">
        <v>72</v>
      </c>
      <c r="AE887" t="s">
        <v>76</v>
      </c>
      <c r="AF887" t="s">
        <v>3974</v>
      </c>
      <c r="AG887" t="s">
        <v>77</v>
      </c>
    </row>
    <row r="888" spans="1:33" x14ac:dyDescent="0.25">
      <c r="A888" t="str">
        <f>"1851685572"</f>
        <v>1851685572</v>
      </c>
      <c r="B888" t="str">
        <f>"03988070"</f>
        <v>03988070</v>
      </c>
      <c r="C888" t="s">
        <v>7024</v>
      </c>
      <c r="D888" t="s">
        <v>7025</v>
      </c>
      <c r="E888" t="s">
        <v>7026</v>
      </c>
      <c r="G888" t="s">
        <v>7024</v>
      </c>
      <c r="L888" t="s">
        <v>80</v>
      </c>
      <c r="M888" t="s">
        <v>72</v>
      </c>
      <c r="R888" t="s">
        <v>7027</v>
      </c>
      <c r="W888" t="s">
        <v>7026</v>
      </c>
      <c r="X888" t="s">
        <v>187</v>
      </c>
      <c r="Y888" t="s">
        <v>188</v>
      </c>
      <c r="Z888" t="s">
        <v>73</v>
      </c>
      <c r="AA888" t="str">
        <f>"14092-1903"</f>
        <v>14092-1903</v>
      </c>
      <c r="AB888" t="s">
        <v>74</v>
      </c>
      <c r="AC888" t="s">
        <v>75</v>
      </c>
      <c r="AD888" t="s">
        <v>72</v>
      </c>
      <c r="AE888" t="s">
        <v>76</v>
      </c>
      <c r="AF888" t="s">
        <v>3961</v>
      </c>
      <c r="AG888" t="s">
        <v>77</v>
      </c>
    </row>
    <row r="889" spans="1:33" x14ac:dyDescent="0.25">
      <c r="A889" t="str">
        <f>"1083611982"</f>
        <v>1083611982</v>
      </c>
      <c r="B889" t="str">
        <f>"00713259"</f>
        <v>00713259</v>
      </c>
      <c r="C889" t="s">
        <v>7028</v>
      </c>
      <c r="D889" t="s">
        <v>2367</v>
      </c>
      <c r="E889" t="s">
        <v>2368</v>
      </c>
      <c r="G889" t="s">
        <v>7028</v>
      </c>
      <c r="L889" t="s">
        <v>79</v>
      </c>
      <c r="M889" t="s">
        <v>72</v>
      </c>
      <c r="R889" t="s">
        <v>2369</v>
      </c>
      <c r="W889" t="s">
        <v>2368</v>
      </c>
      <c r="X889" t="s">
        <v>243</v>
      </c>
      <c r="Y889" t="s">
        <v>117</v>
      </c>
      <c r="Z889" t="s">
        <v>73</v>
      </c>
      <c r="AA889" t="str">
        <f>"14203-1126"</f>
        <v>14203-1126</v>
      </c>
      <c r="AB889" t="s">
        <v>74</v>
      </c>
      <c r="AC889" t="s">
        <v>75</v>
      </c>
      <c r="AD889" t="s">
        <v>72</v>
      </c>
      <c r="AE889" t="s">
        <v>76</v>
      </c>
      <c r="AF889" t="s">
        <v>3974</v>
      </c>
      <c r="AG889" t="s">
        <v>77</v>
      </c>
    </row>
    <row r="890" spans="1:33" x14ac:dyDescent="0.25">
      <c r="A890" t="str">
        <f>"1619300126"</f>
        <v>1619300126</v>
      </c>
      <c r="B890" t="str">
        <f>"03784645"</f>
        <v>03784645</v>
      </c>
      <c r="C890" t="s">
        <v>7029</v>
      </c>
      <c r="D890" t="s">
        <v>7030</v>
      </c>
      <c r="E890" t="s">
        <v>7031</v>
      </c>
      <c r="G890" t="s">
        <v>7029</v>
      </c>
      <c r="L890" t="s">
        <v>79</v>
      </c>
      <c r="M890" t="s">
        <v>72</v>
      </c>
      <c r="R890" t="s">
        <v>7032</v>
      </c>
      <c r="W890" t="s">
        <v>7031</v>
      </c>
      <c r="X890" t="s">
        <v>7033</v>
      </c>
      <c r="Y890" t="s">
        <v>117</v>
      </c>
      <c r="Z890" t="s">
        <v>73</v>
      </c>
      <c r="AA890" t="str">
        <f>"14209-1635"</f>
        <v>14209-1635</v>
      </c>
      <c r="AB890" t="s">
        <v>74</v>
      </c>
      <c r="AC890" t="s">
        <v>75</v>
      </c>
      <c r="AD890" t="s">
        <v>72</v>
      </c>
      <c r="AE890" t="s">
        <v>76</v>
      </c>
      <c r="AF890" t="s">
        <v>3974</v>
      </c>
      <c r="AG890" t="s">
        <v>77</v>
      </c>
    </row>
    <row r="891" spans="1:33" x14ac:dyDescent="0.25">
      <c r="A891" t="str">
        <f>"1639117195"</f>
        <v>1639117195</v>
      </c>
      <c r="B891" t="str">
        <f>"02888659"</f>
        <v>02888659</v>
      </c>
      <c r="C891" t="s">
        <v>7034</v>
      </c>
      <c r="D891" t="s">
        <v>7035</v>
      </c>
      <c r="E891" t="s">
        <v>7036</v>
      </c>
      <c r="G891" t="s">
        <v>7034</v>
      </c>
      <c r="L891" t="s">
        <v>71</v>
      </c>
      <c r="M891" t="s">
        <v>72</v>
      </c>
      <c r="R891" t="s">
        <v>7037</v>
      </c>
      <c r="W891" t="s">
        <v>7038</v>
      </c>
      <c r="X891" t="s">
        <v>752</v>
      </c>
      <c r="Y891" t="s">
        <v>221</v>
      </c>
      <c r="Z891" t="s">
        <v>73</v>
      </c>
      <c r="AA891" t="str">
        <f>"14221-2917"</f>
        <v>14221-2917</v>
      </c>
      <c r="AB891" t="s">
        <v>74</v>
      </c>
      <c r="AC891" t="s">
        <v>75</v>
      </c>
      <c r="AD891" t="s">
        <v>72</v>
      </c>
      <c r="AE891" t="s">
        <v>76</v>
      </c>
      <c r="AF891" t="s">
        <v>4043</v>
      </c>
      <c r="AG891" t="s">
        <v>77</v>
      </c>
    </row>
    <row r="892" spans="1:33" x14ac:dyDescent="0.25">
      <c r="A892" t="str">
        <f>"1639154818"</f>
        <v>1639154818</v>
      </c>
      <c r="B892" t="str">
        <f>"02345095"</f>
        <v>02345095</v>
      </c>
      <c r="C892" t="s">
        <v>7039</v>
      </c>
      <c r="D892" t="s">
        <v>7040</v>
      </c>
      <c r="E892" t="s">
        <v>7041</v>
      </c>
      <c r="G892" t="s">
        <v>7039</v>
      </c>
      <c r="L892" t="s">
        <v>79</v>
      </c>
      <c r="M892" t="s">
        <v>72</v>
      </c>
      <c r="R892" t="s">
        <v>7042</v>
      </c>
      <c r="W892" t="s">
        <v>7041</v>
      </c>
      <c r="X892" t="s">
        <v>187</v>
      </c>
      <c r="Y892" t="s">
        <v>188</v>
      </c>
      <c r="Z892" t="s">
        <v>73</v>
      </c>
      <c r="AA892" t="str">
        <f>"14092-1903"</f>
        <v>14092-1903</v>
      </c>
      <c r="AB892" t="s">
        <v>74</v>
      </c>
      <c r="AC892" t="s">
        <v>75</v>
      </c>
      <c r="AD892" t="s">
        <v>72</v>
      </c>
      <c r="AE892" t="s">
        <v>76</v>
      </c>
      <c r="AF892" t="s">
        <v>3974</v>
      </c>
      <c r="AG892" t="s">
        <v>77</v>
      </c>
    </row>
    <row r="893" spans="1:33" x14ac:dyDescent="0.25">
      <c r="A893" t="str">
        <f>"1740350784"</f>
        <v>1740350784</v>
      </c>
      <c r="B893" t="str">
        <f>"02564501"</f>
        <v>02564501</v>
      </c>
      <c r="C893" t="s">
        <v>7043</v>
      </c>
      <c r="D893" t="s">
        <v>7044</v>
      </c>
      <c r="E893" t="s">
        <v>7045</v>
      </c>
      <c r="G893" t="s">
        <v>7043</v>
      </c>
      <c r="L893" t="s">
        <v>80</v>
      </c>
      <c r="M893" t="s">
        <v>81</v>
      </c>
      <c r="R893" t="s">
        <v>7045</v>
      </c>
      <c r="W893" t="s">
        <v>7045</v>
      </c>
      <c r="X893" t="s">
        <v>295</v>
      </c>
      <c r="Y893" t="s">
        <v>117</v>
      </c>
      <c r="Z893" t="s">
        <v>73</v>
      </c>
      <c r="AA893" t="str">
        <f>"14215-3021"</f>
        <v>14215-3021</v>
      </c>
      <c r="AB893" t="s">
        <v>74</v>
      </c>
      <c r="AC893" t="s">
        <v>75</v>
      </c>
      <c r="AD893" t="s">
        <v>72</v>
      </c>
      <c r="AE893" t="s">
        <v>76</v>
      </c>
      <c r="AF893" t="s">
        <v>3961</v>
      </c>
      <c r="AG893" t="s">
        <v>77</v>
      </c>
    </row>
    <row r="894" spans="1:33" x14ac:dyDescent="0.25">
      <c r="A894" t="str">
        <f>"1841219672"</f>
        <v>1841219672</v>
      </c>
      <c r="B894" t="str">
        <f>"03642000"</f>
        <v>03642000</v>
      </c>
      <c r="C894" t="s">
        <v>7046</v>
      </c>
      <c r="D894" t="s">
        <v>7047</v>
      </c>
      <c r="E894" t="s">
        <v>7048</v>
      </c>
      <c r="G894" t="s">
        <v>7046</v>
      </c>
      <c r="L894" t="s">
        <v>79</v>
      </c>
      <c r="M894" t="s">
        <v>72</v>
      </c>
      <c r="R894" t="s">
        <v>7049</v>
      </c>
      <c r="W894" t="s">
        <v>7048</v>
      </c>
      <c r="X894" t="s">
        <v>187</v>
      </c>
      <c r="Y894" t="s">
        <v>188</v>
      </c>
      <c r="Z894" t="s">
        <v>73</v>
      </c>
      <c r="AA894" t="str">
        <f>"14092-1903"</f>
        <v>14092-1903</v>
      </c>
      <c r="AB894" t="s">
        <v>74</v>
      </c>
      <c r="AC894" t="s">
        <v>75</v>
      </c>
      <c r="AD894" t="s">
        <v>72</v>
      </c>
      <c r="AE894" t="s">
        <v>76</v>
      </c>
      <c r="AF894" t="s">
        <v>3961</v>
      </c>
      <c r="AG894" t="s">
        <v>77</v>
      </c>
    </row>
    <row r="895" spans="1:33" x14ac:dyDescent="0.25">
      <c r="A895" t="str">
        <f>"1861623092"</f>
        <v>1861623092</v>
      </c>
      <c r="B895" t="str">
        <f>"03381913"</f>
        <v>03381913</v>
      </c>
      <c r="C895" t="s">
        <v>7050</v>
      </c>
      <c r="D895" t="s">
        <v>3587</v>
      </c>
      <c r="E895" t="s">
        <v>3588</v>
      </c>
      <c r="G895" t="s">
        <v>7050</v>
      </c>
      <c r="L895" t="s">
        <v>71</v>
      </c>
      <c r="M895" t="s">
        <v>72</v>
      </c>
      <c r="R895" t="s">
        <v>3589</v>
      </c>
      <c r="W895" t="s">
        <v>3588</v>
      </c>
      <c r="X895" t="s">
        <v>1542</v>
      </c>
      <c r="Y895" t="s">
        <v>221</v>
      </c>
      <c r="Z895" t="s">
        <v>73</v>
      </c>
      <c r="AA895" t="str">
        <f>"14221-8216"</f>
        <v>14221-8216</v>
      </c>
      <c r="AB895" t="s">
        <v>74</v>
      </c>
      <c r="AC895" t="s">
        <v>75</v>
      </c>
      <c r="AD895" t="s">
        <v>72</v>
      </c>
      <c r="AE895" t="s">
        <v>76</v>
      </c>
      <c r="AF895" t="s">
        <v>4043</v>
      </c>
      <c r="AG895" t="s">
        <v>77</v>
      </c>
    </row>
    <row r="896" spans="1:33" x14ac:dyDescent="0.25">
      <c r="A896" t="str">
        <f>"1265515522"</f>
        <v>1265515522</v>
      </c>
      <c r="B896" t="str">
        <f>"02347033"</f>
        <v>02347033</v>
      </c>
      <c r="C896" t="s">
        <v>7051</v>
      </c>
      <c r="D896" t="s">
        <v>7052</v>
      </c>
      <c r="E896" t="s">
        <v>7053</v>
      </c>
      <c r="G896" t="s">
        <v>7051</v>
      </c>
      <c r="L896" t="s">
        <v>80</v>
      </c>
      <c r="M896" t="s">
        <v>72</v>
      </c>
      <c r="R896" t="s">
        <v>7054</v>
      </c>
      <c r="W896" t="s">
        <v>7053</v>
      </c>
      <c r="X896" t="s">
        <v>187</v>
      </c>
      <c r="Y896" t="s">
        <v>188</v>
      </c>
      <c r="Z896" t="s">
        <v>73</v>
      </c>
      <c r="AA896" t="str">
        <f>"14092-1903"</f>
        <v>14092-1903</v>
      </c>
      <c r="AB896" t="s">
        <v>74</v>
      </c>
      <c r="AC896" t="s">
        <v>75</v>
      </c>
      <c r="AD896" t="s">
        <v>72</v>
      </c>
      <c r="AE896" t="s">
        <v>76</v>
      </c>
      <c r="AF896" t="s">
        <v>3961</v>
      </c>
      <c r="AG896" t="s">
        <v>77</v>
      </c>
    </row>
    <row r="897" spans="1:33" x14ac:dyDescent="0.25">
      <c r="A897" t="str">
        <f>"1205009776"</f>
        <v>1205009776</v>
      </c>
      <c r="B897" t="str">
        <f>"03064775"</f>
        <v>03064775</v>
      </c>
      <c r="C897" t="s">
        <v>7055</v>
      </c>
      <c r="D897" t="s">
        <v>3214</v>
      </c>
      <c r="E897" t="s">
        <v>3215</v>
      </c>
      <c r="G897" t="s">
        <v>7055</v>
      </c>
      <c r="L897" t="s">
        <v>71</v>
      </c>
      <c r="M897" t="s">
        <v>72</v>
      </c>
      <c r="R897" t="s">
        <v>3217</v>
      </c>
      <c r="W897" t="s">
        <v>3218</v>
      </c>
      <c r="X897" t="s">
        <v>295</v>
      </c>
      <c r="Y897" t="s">
        <v>117</v>
      </c>
      <c r="Z897" t="s">
        <v>73</v>
      </c>
      <c r="AA897" t="str">
        <f>"14215-3021"</f>
        <v>14215-3021</v>
      </c>
      <c r="AB897" t="s">
        <v>74</v>
      </c>
      <c r="AC897" t="s">
        <v>75</v>
      </c>
      <c r="AD897" t="s">
        <v>72</v>
      </c>
      <c r="AE897" t="s">
        <v>76</v>
      </c>
      <c r="AF897" t="s">
        <v>4043</v>
      </c>
      <c r="AG897" t="s">
        <v>77</v>
      </c>
    </row>
    <row r="898" spans="1:33" x14ac:dyDescent="0.25">
      <c r="A898" t="str">
        <f>"1336126630"</f>
        <v>1336126630</v>
      </c>
      <c r="B898" t="str">
        <f>"01867110"</f>
        <v>01867110</v>
      </c>
      <c r="C898" t="s">
        <v>7056</v>
      </c>
      <c r="D898" t="s">
        <v>7057</v>
      </c>
      <c r="E898" t="s">
        <v>7058</v>
      </c>
      <c r="G898" t="s">
        <v>7056</v>
      </c>
      <c r="L898" t="s">
        <v>79</v>
      </c>
      <c r="M898" t="s">
        <v>72</v>
      </c>
      <c r="R898" t="s">
        <v>7059</v>
      </c>
      <c r="W898" t="s">
        <v>7058</v>
      </c>
      <c r="X898" t="s">
        <v>187</v>
      </c>
      <c r="Y898" t="s">
        <v>188</v>
      </c>
      <c r="Z898" t="s">
        <v>73</v>
      </c>
      <c r="AA898" t="str">
        <f>"14092-1903"</f>
        <v>14092-1903</v>
      </c>
      <c r="AB898" t="s">
        <v>74</v>
      </c>
      <c r="AC898" t="s">
        <v>75</v>
      </c>
      <c r="AD898" t="s">
        <v>72</v>
      </c>
      <c r="AE898" t="s">
        <v>76</v>
      </c>
      <c r="AF898" t="s">
        <v>3974</v>
      </c>
      <c r="AG898" t="s">
        <v>77</v>
      </c>
    </row>
    <row r="899" spans="1:33" x14ac:dyDescent="0.25">
      <c r="A899" t="str">
        <f>"1295763670"</f>
        <v>1295763670</v>
      </c>
      <c r="B899" t="str">
        <f>"02563968"</f>
        <v>02563968</v>
      </c>
      <c r="C899" t="s">
        <v>7060</v>
      </c>
      <c r="D899" t="s">
        <v>2346</v>
      </c>
      <c r="E899" t="s">
        <v>2347</v>
      </c>
      <c r="G899" t="s">
        <v>7061</v>
      </c>
      <c r="H899" t="s">
        <v>1711</v>
      </c>
      <c r="J899" t="s">
        <v>7062</v>
      </c>
      <c r="L899" t="s">
        <v>80</v>
      </c>
      <c r="M899" t="s">
        <v>72</v>
      </c>
      <c r="R899" t="s">
        <v>2348</v>
      </c>
      <c r="W899" t="s">
        <v>2347</v>
      </c>
      <c r="X899" t="s">
        <v>1713</v>
      </c>
      <c r="Y899" t="s">
        <v>326</v>
      </c>
      <c r="Z899" t="s">
        <v>73</v>
      </c>
      <c r="AA899" t="str">
        <f>"14127-2604"</f>
        <v>14127-2604</v>
      </c>
      <c r="AB899" t="s">
        <v>74</v>
      </c>
      <c r="AC899" t="s">
        <v>75</v>
      </c>
      <c r="AD899" t="s">
        <v>72</v>
      </c>
      <c r="AE899" t="s">
        <v>76</v>
      </c>
      <c r="AF899" t="s">
        <v>3961</v>
      </c>
      <c r="AG899" t="s">
        <v>77</v>
      </c>
    </row>
    <row r="900" spans="1:33" x14ac:dyDescent="0.25">
      <c r="A900" t="str">
        <f>"1891799656"</f>
        <v>1891799656</v>
      </c>
      <c r="B900" t="str">
        <f>"02564432"</f>
        <v>02564432</v>
      </c>
      <c r="C900" t="s">
        <v>7063</v>
      </c>
      <c r="D900" t="s">
        <v>2428</v>
      </c>
      <c r="E900" t="s">
        <v>2429</v>
      </c>
      <c r="G900" t="s">
        <v>3976</v>
      </c>
      <c r="H900" t="s">
        <v>1372</v>
      </c>
      <c r="J900" t="s">
        <v>3977</v>
      </c>
      <c r="L900" t="s">
        <v>80</v>
      </c>
      <c r="M900" t="s">
        <v>72</v>
      </c>
      <c r="R900" t="s">
        <v>2430</v>
      </c>
      <c r="W900" t="s">
        <v>2429</v>
      </c>
      <c r="X900" t="s">
        <v>1514</v>
      </c>
      <c r="Y900" t="s">
        <v>1351</v>
      </c>
      <c r="Z900" t="s">
        <v>73</v>
      </c>
      <c r="AA900" t="str">
        <f>"14111"</f>
        <v>14111</v>
      </c>
      <c r="AB900" t="s">
        <v>74</v>
      </c>
      <c r="AC900" t="s">
        <v>75</v>
      </c>
      <c r="AD900" t="s">
        <v>72</v>
      </c>
      <c r="AE900" t="s">
        <v>76</v>
      </c>
      <c r="AF900" t="s">
        <v>3961</v>
      </c>
      <c r="AG900" t="s">
        <v>77</v>
      </c>
    </row>
    <row r="901" spans="1:33" x14ac:dyDescent="0.25">
      <c r="A901" t="str">
        <f>"1922002906"</f>
        <v>1922002906</v>
      </c>
      <c r="B901" t="str">
        <f>"01664951"</f>
        <v>01664951</v>
      </c>
      <c r="C901" t="s">
        <v>7064</v>
      </c>
      <c r="D901" t="s">
        <v>7065</v>
      </c>
      <c r="E901" t="s">
        <v>7066</v>
      </c>
      <c r="G901" t="s">
        <v>4093</v>
      </c>
      <c r="H901" t="s">
        <v>4094</v>
      </c>
      <c r="I901">
        <v>223</v>
      </c>
      <c r="J901" t="s">
        <v>4095</v>
      </c>
      <c r="L901" t="s">
        <v>80</v>
      </c>
      <c r="M901" t="s">
        <v>81</v>
      </c>
      <c r="R901" t="s">
        <v>7067</v>
      </c>
      <c r="W901" t="s">
        <v>7066</v>
      </c>
      <c r="X901" t="s">
        <v>4105</v>
      </c>
      <c r="Y901" t="s">
        <v>242</v>
      </c>
      <c r="Z901" t="s">
        <v>73</v>
      </c>
      <c r="AA901" t="str">
        <f>"14701-2519"</f>
        <v>14701-2519</v>
      </c>
      <c r="AB901" t="s">
        <v>74</v>
      </c>
      <c r="AC901" t="s">
        <v>75</v>
      </c>
      <c r="AD901" t="s">
        <v>72</v>
      </c>
      <c r="AE901" t="s">
        <v>76</v>
      </c>
      <c r="AF901" t="s">
        <v>4049</v>
      </c>
      <c r="AG901" t="s">
        <v>77</v>
      </c>
    </row>
    <row r="902" spans="1:33" x14ac:dyDescent="0.25">
      <c r="A902" t="str">
        <f>"1831194513"</f>
        <v>1831194513</v>
      </c>
      <c r="B902" t="str">
        <f>"00961582"</f>
        <v>00961582</v>
      </c>
      <c r="C902" t="s">
        <v>7068</v>
      </c>
      <c r="D902" t="s">
        <v>971</v>
      </c>
      <c r="E902" t="s">
        <v>972</v>
      </c>
      <c r="G902" t="s">
        <v>4714</v>
      </c>
      <c r="H902" t="s">
        <v>4715</v>
      </c>
      <c r="J902" t="s">
        <v>4716</v>
      </c>
      <c r="L902" t="s">
        <v>80</v>
      </c>
      <c r="M902" t="s">
        <v>81</v>
      </c>
      <c r="R902" t="s">
        <v>973</v>
      </c>
      <c r="W902" t="s">
        <v>972</v>
      </c>
      <c r="X902" t="s">
        <v>974</v>
      </c>
      <c r="Y902" t="s">
        <v>209</v>
      </c>
      <c r="Z902" t="s">
        <v>73</v>
      </c>
      <c r="AA902" t="str">
        <f>"14301-1807"</f>
        <v>14301-1807</v>
      </c>
      <c r="AB902" t="s">
        <v>74</v>
      </c>
      <c r="AC902" t="s">
        <v>75</v>
      </c>
      <c r="AD902" t="s">
        <v>72</v>
      </c>
      <c r="AE902" t="s">
        <v>76</v>
      </c>
      <c r="AG902" t="s">
        <v>77</v>
      </c>
    </row>
    <row r="903" spans="1:33" x14ac:dyDescent="0.25">
      <c r="A903" t="str">
        <f>"1629015011"</f>
        <v>1629015011</v>
      </c>
      <c r="B903" t="str">
        <f>"01606082"</f>
        <v>01606082</v>
      </c>
      <c r="C903" t="s">
        <v>7069</v>
      </c>
      <c r="D903" t="s">
        <v>2532</v>
      </c>
      <c r="E903" t="s">
        <v>2533</v>
      </c>
      <c r="G903" t="s">
        <v>7070</v>
      </c>
      <c r="H903" t="s">
        <v>7071</v>
      </c>
      <c r="J903" t="s">
        <v>7072</v>
      </c>
      <c r="L903" t="s">
        <v>80</v>
      </c>
      <c r="M903" t="s">
        <v>72</v>
      </c>
      <c r="R903" t="s">
        <v>2534</v>
      </c>
      <c r="W903" t="s">
        <v>2533</v>
      </c>
      <c r="X903" t="s">
        <v>718</v>
      </c>
      <c r="Y903" t="s">
        <v>733</v>
      </c>
      <c r="Z903" t="s">
        <v>73</v>
      </c>
      <c r="AA903" t="str">
        <f>"14120-4435"</f>
        <v>14120-4435</v>
      </c>
      <c r="AB903" t="s">
        <v>74</v>
      </c>
      <c r="AC903" t="s">
        <v>75</v>
      </c>
      <c r="AD903" t="s">
        <v>72</v>
      </c>
      <c r="AE903" t="s">
        <v>76</v>
      </c>
      <c r="AF903" t="s">
        <v>3961</v>
      </c>
      <c r="AG903" t="s">
        <v>77</v>
      </c>
    </row>
    <row r="904" spans="1:33" x14ac:dyDescent="0.25">
      <c r="A904" t="str">
        <f>"1205842184"</f>
        <v>1205842184</v>
      </c>
      <c r="B904" t="str">
        <f>"01283292"</f>
        <v>01283292</v>
      </c>
      <c r="C904" t="s">
        <v>7073</v>
      </c>
      <c r="D904" t="s">
        <v>2567</v>
      </c>
      <c r="E904" t="s">
        <v>2568</v>
      </c>
      <c r="G904" t="s">
        <v>7074</v>
      </c>
      <c r="H904" t="s">
        <v>1637</v>
      </c>
      <c r="J904" t="s">
        <v>7075</v>
      </c>
      <c r="L904" t="s">
        <v>80</v>
      </c>
      <c r="M904" t="s">
        <v>72</v>
      </c>
      <c r="R904" t="s">
        <v>2569</v>
      </c>
      <c r="W904" t="s">
        <v>2568</v>
      </c>
      <c r="X904" t="s">
        <v>173</v>
      </c>
      <c r="Y904" t="s">
        <v>117</v>
      </c>
      <c r="Z904" t="s">
        <v>73</v>
      </c>
      <c r="AA904" t="str">
        <f>"14222-2006"</f>
        <v>14222-2006</v>
      </c>
      <c r="AB904" t="s">
        <v>74</v>
      </c>
      <c r="AC904" t="s">
        <v>75</v>
      </c>
      <c r="AD904" t="s">
        <v>72</v>
      </c>
      <c r="AE904" t="s">
        <v>76</v>
      </c>
      <c r="AF904" t="s">
        <v>3961</v>
      </c>
      <c r="AG904" t="s">
        <v>77</v>
      </c>
    </row>
    <row r="905" spans="1:33" x14ac:dyDescent="0.25">
      <c r="A905" t="str">
        <f>"1841286747"</f>
        <v>1841286747</v>
      </c>
      <c r="B905" t="str">
        <f>"01075727"</f>
        <v>01075727</v>
      </c>
      <c r="C905" t="s">
        <v>7076</v>
      </c>
      <c r="D905" t="s">
        <v>3569</v>
      </c>
      <c r="E905" t="s">
        <v>3570</v>
      </c>
      <c r="G905" t="s">
        <v>4979</v>
      </c>
      <c r="H905" t="s">
        <v>1123</v>
      </c>
      <c r="J905" t="s">
        <v>4981</v>
      </c>
      <c r="L905" t="s">
        <v>84</v>
      </c>
      <c r="M905" t="s">
        <v>72</v>
      </c>
      <c r="R905" t="s">
        <v>3571</v>
      </c>
      <c r="W905" t="s">
        <v>3570</v>
      </c>
      <c r="X905" t="s">
        <v>243</v>
      </c>
      <c r="Y905" t="s">
        <v>117</v>
      </c>
      <c r="Z905" t="s">
        <v>73</v>
      </c>
      <c r="AA905" t="str">
        <f>"14203-1126"</f>
        <v>14203-1126</v>
      </c>
      <c r="AB905" t="s">
        <v>74</v>
      </c>
      <c r="AC905" t="s">
        <v>75</v>
      </c>
      <c r="AD905" t="s">
        <v>72</v>
      </c>
      <c r="AE905" t="s">
        <v>76</v>
      </c>
      <c r="AF905" t="s">
        <v>3974</v>
      </c>
      <c r="AG905" t="s">
        <v>77</v>
      </c>
    </row>
    <row r="906" spans="1:33" x14ac:dyDescent="0.25">
      <c r="A906" t="str">
        <f>"1972515740"</f>
        <v>1972515740</v>
      </c>
      <c r="B906" t="str">
        <f>"02209649"</f>
        <v>02209649</v>
      </c>
      <c r="C906" t="s">
        <v>7077</v>
      </c>
      <c r="D906" t="s">
        <v>3338</v>
      </c>
      <c r="E906" t="s">
        <v>3339</v>
      </c>
      <c r="G906" t="s">
        <v>5463</v>
      </c>
      <c r="H906" t="s">
        <v>589</v>
      </c>
      <c r="J906" t="s">
        <v>5464</v>
      </c>
      <c r="L906" t="s">
        <v>79</v>
      </c>
      <c r="M906" t="s">
        <v>72</v>
      </c>
      <c r="R906" t="s">
        <v>3340</v>
      </c>
      <c r="W906" t="s">
        <v>3339</v>
      </c>
      <c r="X906" t="s">
        <v>1626</v>
      </c>
      <c r="Y906" t="s">
        <v>221</v>
      </c>
      <c r="Z906" t="s">
        <v>73</v>
      </c>
      <c r="AA906" t="str">
        <f>"14221-1729"</f>
        <v>14221-1729</v>
      </c>
      <c r="AB906" t="s">
        <v>74</v>
      </c>
      <c r="AC906" t="s">
        <v>75</v>
      </c>
      <c r="AD906" t="s">
        <v>72</v>
      </c>
      <c r="AE906" t="s">
        <v>76</v>
      </c>
      <c r="AF906" t="s">
        <v>3974</v>
      </c>
      <c r="AG906" t="s">
        <v>77</v>
      </c>
    </row>
    <row r="907" spans="1:33" x14ac:dyDescent="0.25">
      <c r="A907" t="str">
        <f>"1003812330"</f>
        <v>1003812330</v>
      </c>
      <c r="B907" t="str">
        <f>"01520350"</f>
        <v>01520350</v>
      </c>
      <c r="C907" t="s">
        <v>7078</v>
      </c>
      <c r="D907" t="s">
        <v>3204</v>
      </c>
      <c r="E907" t="s">
        <v>3205</v>
      </c>
      <c r="G907" t="s">
        <v>3829</v>
      </c>
      <c r="H907" t="s">
        <v>6844</v>
      </c>
      <c r="J907" t="s">
        <v>3830</v>
      </c>
      <c r="L907" t="s">
        <v>97</v>
      </c>
      <c r="M907" t="s">
        <v>81</v>
      </c>
      <c r="R907" t="s">
        <v>3203</v>
      </c>
      <c r="W907" t="s">
        <v>3205</v>
      </c>
      <c r="X907" t="s">
        <v>3206</v>
      </c>
      <c r="Y907" t="s">
        <v>1971</v>
      </c>
      <c r="Z907" t="s">
        <v>73</v>
      </c>
      <c r="AA907" t="str">
        <f>"14742-0400"</f>
        <v>14742-0400</v>
      </c>
      <c r="AB907" t="s">
        <v>98</v>
      </c>
      <c r="AC907" t="s">
        <v>75</v>
      </c>
      <c r="AD907" t="s">
        <v>72</v>
      </c>
      <c r="AE907" t="s">
        <v>76</v>
      </c>
      <c r="AF907" t="s">
        <v>4078</v>
      </c>
      <c r="AG907" t="s">
        <v>77</v>
      </c>
    </row>
    <row r="908" spans="1:33" x14ac:dyDescent="0.25">
      <c r="A908" t="str">
        <f>"1366448706"</f>
        <v>1366448706</v>
      </c>
      <c r="B908" t="str">
        <f>"01520369"</f>
        <v>01520369</v>
      </c>
      <c r="C908" t="s">
        <v>7079</v>
      </c>
      <c r="D908" t="s">
        <v>3893</v>
      </c>
      <c r="E908" t="s">
        <v>3894</v>
      </c>
      <c r="G908" t="s">
        <v>3829</v>
      </c>
      <c r="H908" t="s">
        <v>6844</v>
      </c>
      <c r="J908" t="s">
        <v>3830</v>
      </c>
      <c r="L908" t="s">
        <v>97</v>
      </c>
      <c r="M908" t="s">
        <v>81</v>
      </c>
      <c r="R908" t="s">
        <v>3895</v>
      </c>
      <c r="W908" t="s">
        <v>3894</v>
      </c>
      <c r="X908" t="s">
        <v>3896</v>
      </c>
      <c r="Y908" t="s">
        <v>242</v>
      </c>
      <c r="Z908" t="s">
        <v>73</v>
      </c>
      <c r="AA908" t="str">
        <f>"14701-6710"</f>
        <v>14701-6710</v>
      </c>
      <c r="AB908" t="s">
        <v>98</v>
      </c>
      <c r="AC908" t="s">
        <v>75</v>
      </c>
      <c r="AD908" t="s">
        <v>72</v>
      </c>
      <c r="AE908" t="s">
        <v>76</v>
      </c>
      <c r="AF908" t="s">
        <v>4078</v>
      </c>
      <c r="AG908" t="s">
        <v>77</v>
      </c>
    </row>
    <row r="909" spans="1:33" x14ac:dyDescent="0.25">
      <c r="A909" t="str">
        <f>"1457603136"</f>
        <v>1457603136</v>
      </c>
      <c r="C909" t="s">
        <v>7080</v>
      </c>
      <c r="G909" t="s">
        <v>3829</v>
      </c>
      <c r="H909" t="s">
        <v>6844</v>
      </c>
      <c r="J909" t="s">
        <v>3830</v>
      </c>
      <c r="K909" t="s">
        <v>89</v>
      </c>
      <c r="L909" t="s">
        <v>92</v>
      </c>
      <c r="M909" t="s">
        <v>72</v>
      </c>
      <c r="R909" t="s">
        <v>791</v>
      </c>
      <c r="S909" t="s">
        <v>792</v>
      </c>
      <c r="T909" t="s">
        <v>242</v>
      </c>
      <c r="U909" t="s">
        <v>73</v>
      </c>
      <c r="V909" t="str">
        <f>"147015709"</f>
        <v>147015709</v>
      </c>
      <c r="AC909" t="s">
        <v>75</v>
      </c>
      <c r="AD909" t="s">
        <v>72</v>
      </c>
      <c r="AE909" t="s">
        <v>93</v>
      </c>
      <c r="AF909" t="s">
        <v>4078</v>
      </c>
      <c r="AG909" t="s">
        <v>77</v>
      </c>
    </row>
    <row r="910" spans="1:33" x14ac:dyDescent="0.25">
      <c r="A910" t="str">
        <f>"1013903657"</f>
        <v>1013903657</v>
      </c>
      <c r="B910" t="str">
        <f>"00475287"</f>
        <v>00475287</v>
      </c>
      <c r="C910" t="s">
        <v>7081</v>
      </c>
      <c r="D910" t="s">
        <v>7082</v>
      </c>
      <c r="E910" t="s">
        <v>7083</v>
      </c>
      <c r="G910" t="s">
        <v>4768</v>
      </c>
      <c r="H910" t="s">
        <v>4769</v>
      </c>
      <c r="J910" t="s">
        <v>4770</v>
      </c>
      <c r="L910" t="s">
        <v>97</v>
      </c>
      <c r="M910" t="s">
        <v>81</v>
      </c>
      <c r="R910" t="s">
        <v>7084</v>
      </c>
      <c r="W910" t="s">
        <v>7083</v>
      </c>
      <c r="X910" t="s">
        <v>2244</v>
      </c>
      <c r="Y910" t="s">
        <v>436</v>
      </c>
      <c r="Z910" t="s">
        <v>73</v>
      </c>
      <c r="AA910" t="str">
        <f>"14217-1339"</f>
        <v>14217-1339</v>
      </c>
      <c r="AB910" t="s">
        <v>86</v>
      </c>
      <c r="AC910" t="s">
        <v>75</v>
      </c>
      <c r="AD910" t="s">
        <v>72</v>
      </c>
      <c r="AE910" t="s">
        <v>76</v>
      </c>
      <c r="AF910" t="s">
        <v>4078</v>
      </c>
      <c r="AG910" t="s">
        <v>77</v>
      </c>
    </row>
    <row r="911" spans="1:33" x14ac:dyDescent="0.25">
      <c r="A911" t="str">
        <f>"1669411864"</f>
        <v>1669411864</v>
      </c>
      <c r="B911" t="str">
        <f>"01220942"</f>
        <v>01220942</v>
      </c>
      <c r="C911" t="s">
        <v>7085</v>
      </c>
      <c r="D911" t="s">
        <v>7086</v>
      </c>
      <c r="E911" t="s">
        <v>7087</v>
      </c>
      <c r="G911" t="s">
        <v>7088</v>
      </c>
      <c r="H911" t="s">
        <v>5457</v>
      </c>
      <c r="J911" t="s">
        <v>7089</v>
      </c>
      <c r="L911" t="s">
        <v>79</v>
      </c>
      <c r="M911" t="s">
        <v>72</v>
      </c>
      <c r="R911" t="s">
        <v>7090</v>
      </c>
      <c r="W911" t="s">
        <v>7087</v>
      </c>
      <c r="X911" t="s">
        <v>7091</v>
      </c>
      <c r="Y911" t="s">
        <v>209</v>
      </c>
      <c r="Z911" t="s">
        <v>73</v>
      </c>
      <c r="AA911" t="str">
        <f>"14301-1754"</f>
        <v>14301-1754</v>
      </c>
      <c r="AB911" t="s">
        <v>113</v>
      </c>
      <c r="AC911" t="s">
        <v>75</v>
      </c>
      <c r="AD911" t="s">
        <v>72</v>
      </c>
      <c r="AE911" t="s">
        <v>76</v>
      </c>
      <c r="AF911" t="s">
        <v>4043</v>
      </c>
      <c r="AG911" t="s">
        <v>77</v>
      </c>
    </row>
    <row r="912" spans="1:33" x14ac:dyDescent="0.25">
      <c r="A912" t="str">
        <f>"1619958816"</f>
        <v>1619958816</v>
      </c>
      <c r="B912" t="str">
        <f>"01772027"</f>
        <v>01772027</v>
      </c>
      <c r="C912" t="s">
        <v>7092</v>
      </c>
      <c r="D912" t="s">
        <v>1802</v>
      </c>
      <c r="E912" t="s">
        <v>1803</v>
      </c>
      <c r="G912" t="s">
        <v>7092</v>
      </c>
      <c r="H912" t="s">
        <v>1804</v>
      </c>
      <c r="J912" t="s">
        <v>7093</v>
      </c>
      <c r="L912" t="s">
        <v>79</v>
      </c>
      <c r="M912" t="s">
        <v>72</v>
      </c>
      <c r="R912" t="s">
        <v>1805</v>
      </c>
      <c r="W912" t="s">
        <v>1803</v>
      </c>
      <c r="X912" t="s">
        <v>243</v>
      </c>
      <c r="Y912" t="s">
        <v>117</v>
      </c>
      <c r="Z912" t="s">
        <v>73</v>
      </c>
      <c r="AA912" t="str">
        <f>"14203-1126"</f>
        <v>14203-1126</v>
      </c>
      <c r="AB912" t="s">
        <v>74</v>
      </c>
      <c r="AC912" t="s">
        <v>75</v>
      </c>
      <c r="AD912" t="s">
        <v>72</v>
      </c>
      <c r="AE912" t="s">
        <v>76</v>
      </c>
      <c r="AF912" t="s">
        <v>3974</v>
      </c>
      <c r="AG912" t="s">
        <v>77</v>
      </c>
    </row>
    <row r="913" spans="1:33" x14ac:dyDescent="0.25">
      <c r="A913" t="str">
        <f>"1720328412"</f>
        <v>1720328412</v>
      </c>
      <c r="B913" t="str">
        <f>"03603032"</f>
        <v>03603032</v>
      </c>
      <c r="C913" t="s">
        <v>7094</v>
      </c>
      <c r="D913" t="s">
        <v>1901</v>
      </c>
      <c r="E913" t="s">
        <v>1902</v>
      </c>
      <c r="G913" t="s">
        <v>3952</v>
      </c>
      <c r="H913" t="s">
        <v>3953</v>
      </c>
      <c r="J913" t="s">
        <v>3954</v>
      </c>
      <c r="L913" t="s">
        <v>80</v>
      </c>
      <c r="M913" t="s">
        <v>72</v>
      </c>
      <c r="R913" t="s">
        <v>1903</v>
      </c>
      <c r="W913" t="s">
        <v>1902</v>
      </c>
      <c r="X913" t="s">
        <v>1189</v>
      </c>
      <c r="Y913" t="s">
        <v>1190</v>
      </c>
      <c r="Z913" t="s">
        <v>73</v>
      </c>
      <c r="AA913" t="str">
        <f>"14042-9501"</f>
        <v>14042-9501</v>
      </c>
      <c r="AB913" t="s">
        <v>74</v>
      </c>
      <c r="AC913" t="s">
        <v>75</v>
      </c>
      <c r="AD913" t="s">
        <v>72</v>
      </c>
      <c r="AE913" t="s">
        <v>76</v>
      </c>
      <c r="AG913" t="s">
        <v>77</v>
      </c>
    </row>
    <row r="914" spans="1:33" x14ac:dyDescent="0.25">
      <c r="A914" t="str">
        <f>"1437117553"</f>
        <v>1437117553</v>
      </c>
      <c r="B914" t="str">
        <f>"01924689"</f>
        <v>01924689</v>
      </c>
      <c r="C914" t="s">
        <v>7095</v>
      </c>
      <c r="D914" t="s">
        <v>1709</v>
      </c>
      <c r="E914" t="s">
        <v>1710</v>
      </c>
      <c r="G914" t="s">
        <v>7061</v>
      </c>
      <c r="H914" t="s">
        <v>1711</v>
      </c>
      <c r="J914" t="s">
        <v>7062</v>
      </c>
      <c r="L914" t="s">
        <v>80</v>
      </c>
      <c r="M914" t="s">
        <v>72</v>
      </c>
      <c r="R914" t="s">
        <v>1712</v>
      </c>
      <c r="W914" t="s">
        <v>1710</v>
      </c>
      <c r="X914" t="s">
        <v>1713</v>
      </c>
      <c r="Y914" t="s">
        <v>326</v>
      </c>
      <c r="Z914" t="s">
        <v>73</v>
      </c>
      <c r="AA914" t="str">
        <f>"14127-2604"</f>
        <v>14127-2604</v>
      </c>
      <c r="AB914" t="s">
        <v>74</v>
      </c>
      <c r="AC914" t="s">
        <v>75</v>
      </c>
      <c r="AD914" t="s">
        <v>72</v>
      </c>
      <c r="AE914" t="s">
        <v>76</v>
      </c>
      <c r="AF914" t="s">
        <v>3961</v>
      </c>
      <c r="AG914" t="s">
        <v>77</v>
      </c>
    </row>
    <row r="915" spans="1:33" x14ac:dyDescent="0.25">
      <c r="A915" t="str">
        <f>"1215927330"</f>
        <v>1215927330</v>
      </c>
      <c r="B915" t="str">
        <f>"01185675"</f>
        <v>01185675</v>
      </c>
      <c r="C915" t="s">
        <v>7096</v>
      </c>
      <c r="D915" t="s">
        <v>2676</v>
      </c>
      <c r="E915" t="s">
        <v>2677</v>
      </c>
      <c r="G915" t="s">
        <v>6478</v>
      </c>
      <c r="H915" t="s">
        <v>1695</v>
      </c>
      <c r="J915" t="s">
        <v>6479</v>
      </c>
      <c r="L915" t="s">
        <v>71</v>
      </c>
      <c r="M915" t="s">
        <v>72</v>
      </c>
      <c r="R915" t="s">
        <v>2678</v>
      </c>
      <c r="W915" t="s">
        <v>2677</v>
      </c>
      <c r="Y915" t="s">
        <v>87</v>
      </c>
      <c r="Z915" t="s">
        <v>73</v>
      </c>
      <c r="AA915" t="str">
        <f>"10019-1104"</f>
        <v>10019-1104</v>
      </c>
      <c r="AB915" t="s">
        <v>74</v>
      </c>
      <c r="AC915" t="s">
        <v>75</v>
      </c>
      <c r="AD915" t="s">
        <v>72</v>
      </c>
      <c r="AE915" t="s">
        <v>76</v>
      </c>
      <c r="AF915" t="s">
        <v>3974</v>
      </c>
      <c r="AG915" t="s">
        <v>77</v>
      </c>
    </row>
    <row r="916" spans="1:33" x14ac:dyDescent="0.25">
      <c r="A916" t="str">
        <f>"1982744504"</f>
        <v>1982744504</v>
      </c>
      <c r="B916" t="str">
        <f>"02664579"</f>
        <v>02664579</v>
      </c>
      <c r="C916" t="s">
        <v>7097</v>
      </c>
      <c r="D916" t="s">
        <v>3607</v>
      </c>
      <c r="E916" t="s">
        <v>3608</v>
      </c>
      <c r="G916" t="s">
        <v>7097</v>
      </c>
      <c r="H916" t="s">
        <v>3609</v>
      </c>
      <c r="J916" t="s">
        <v>7098</v>
      </c>
      <c r="L916" t="s">
        <v>71</v>
      </c>
      <c r="M916" t="s">
        <v>72</v>
      </c>
      <c r="R916" t="s">
        <v>1205</v>
      </c>
      <c r="W916" t="s">
        <v>3608</v>
      </c>
      <c r="X916" t="s">
        <v>234</v>
      </c>
      <c r="Y916" t="s">
        <v>117</v>
      </c>
      <c r="Z916" t="s">
        <v>73</v>
      </c>
      <c r="AA916" t="str">
        <f>"14220-2039"</f>
        <v>14220-2039</v>
      </c>
      <c r="AB916" t="s">
        <v>74</v>
      </c>
      <c r="AC916" t="s">
        <v>75</v>
      </c>
      <c r="AD916" t="s">
        <v>72</v>
      </c>
      <c r="AE916" t="s">
        <v>76</v>
      </c>
      <c r="AF916" t="s">
        <v>3974</v>
      </c>
      <c r="AG916" t="s">
        <v>77</v>
      </c>
    </row>
    <row r="917" spans="1:33" x14ac:dyDescent="0.25">
      <c r="A917" t="str">
        <f>"1770681777"</f>
        <v>1770681777</v>
      </c>
      <c r="B917" t="str">
        <f>"02628339"</f>
        <v>02628339</v>
      </c>
      <c r="C917" t="s">
        <v>7099</v>
      </c>
      <c r="D917" t="s">
        <v>1865</v>
      </c>
      <c r="E917" t="s">
        <v>1866</v>
      </c>
      <c r="G917" t="s">
        <v>7099</v>
      </c>
      <c r="H917" t="s">
        <v>5483</v>
      </c>
      <c r="J917" t="s">
        <v>7100</v>
      </c>
      <c r="L917" t="s">
        <v>79</v>
      </c>
      <c r="M917" t="s">
        <v>72</v>
      </c>
      <c r="R917" t="s">
        <v>1867</v>
      </c>
      <c r="W917" t="s">
        <v>1866</v>
      </c>
      <c r="X917" t="s">
        <v>1868</v>
      </c>
      <c r="Y917" t="s">
        <v>221</v>
      </c>
      <c r="Z917" t="s">
        <v>73</v>
      </c>
      <c r="AA917" t="str">
        <f>"14221-7894"</f>
        <v>14221-7894</v>
      </c>
      <c r="AB917" t="s">
        <v>74</v>
      </c>
      <c r="AC917" t="s">
        <v>75</v>
      </c>
      <c r="AD917" t="s">
        <v>72</v>
      </c>
      <c r="AE917" t="s">
        <v>76</v>
      </c>
      <c r="AF917" t="s">
        <v>3974</v>
      </c>
      <c r="AG917" t="s">
        <v>77</v>
      </c>
    </row>
    <row r="918" spans="1:33" x14ac:dyDescent="0.25">
      <c r="A918" t="str">
        <f>"1134187537"</f>
        <v>1134187537</v>
      </c>
      <c r="B918" t="str">
        <f>"01789519"</f>
        <v>01789519</v>
      </c>
      <c r="C918" t="s">
        <v>7101</v>
      </c>
      <c r="D918" t="s">
        <v>7102</v>
      </c>
      <c r="E918" t="s">
        <v>7103</v>
      </c>
      <c r="G918" t="s">
        <v>7104</v>
      </c>
      <c r="H918" t="s">
        <v>7105</v>
      </c>
      <c r="J918" t="s">
        <v>7106</v>
      </c>
      <c r="L918" t="s">
        <v>80</v>
      </c>
      <c r="M918" t="s">
        <v>72</v>
      </c>
      <c r="R918" t="s">
        <v>7107</v>
      </c>
      <c r="W918" t="s">
        <v>7108</v>
      </c>
      <c r="X918" t="s">
        <v>5884</v>
      </c>
      <c r="Y918" t="s">
        <v>326</v>
      </c>
      <c r="Z918" t="s">
        <v>73</v>
      </c>
      <c r="AA918" t="str">
        <f>"14127-1705"</f>
        <v>14127-1705</v>
      </c>
      <c r="AB918" t="s">
        <v>74</v>
      </c>
      <c r="AC918" t="s">
        <v>75</v>
      </c>
      <c r="AD918" t="s">
        <v>72</v>
      </c>
      <c r="AE918" t="s">
        <v>76</v>
      </c>
      <c r="AF918" t="s">
        <v>3961</v>
      </c>
      <c r="AG918" t="s">
        <v>77</v>
      </c>
    </row>
    <row r="919" spans="1:33" x14ac:dyDescent="0.25">
      <c r="A919" t="str">
        <f>"1457324014"</f>
        <v>1457324014</v>
      </c>
      <c r="B919" t="str">
        <f>"00586883"</f>
        <v>00586883</v>
      </c>
      <c r="C919" t="s">
        <v>7109</v>
      </c>
      <c r="D919" t="s">
        <v>1064</v>
      </c>
      <c r="E919" t="s">
        <v>1065</v>
      </c>
      <c r="G919" t="s">
        <v>7110</v>
      </c>
      <c r="H919" t="s">
        <v>1066</v>
      </c>
      <c r="J919" t="s">
        <v>7111</v>
      </c>
      <c r="L919" t="s">
        <v>80</v>
      </c>
      <c r="M919" t="s">
        <v>72</v>
      </c>
      <c r="R919" t="s">
        <v>1067</v>
      </c>
      <c r="W919" t="s">
        <v>1068</v>
      </c>
      <c r="Y919" t="s">
        <v>188</v>
      </c>
      <c r="Z919" t="s">
        <v>73</v>
      </c>
      <c r="AA919" t="str">
        <f>"14092-1997"</f>
        <v>14092-1997</v>
      </c>
      <c r="AB919" t="s">
        <v>74</v>
      </c>
      <c r="AC919" t="s">
        <v>75</v>
      </c>
      <c r="AD919" t="s">
        <v>72</v>
      </c>
      <c r="AE919" t="s">
        <v>76</v>
      </c>
      <c r="AF919" t="s">
        <v>3961</v>
      </c>
      <c r="AG919" t="s">
        <v>77</v>
      </c>
    </row>
    <row r="920" spans="1:33" x14ac:dyDescent="0.25">
      <c r="A920" t="str">
        <f>"1013068410"</f>
        <v>1013068410</v>
      </c>
      <c r="B920" t="str">
        <f>"00603287"</f>
        <v>00603287</v>
      </c>
      <c r="C920" t="s">
        <v>7112</v>
      </c>
      <c r="D920" t="s">
        <v>7113</v>
      </c>
      <c r="E920" t="s">
        <v>7114</v>
      </c>
      <c r="G920" t="s">
        <v>7115</v>
      </c>
      <c r="H920" t="s">
        <v>7116</v>
      </c>
      <c r="J920" t="s">
        <v>7117</v>
      </c>
      <c r="L920" t="s">
        <v>79</v>
      </c>
      <c r="M920" t="s">
        <v>72</v>
      </c>
      <c r="R920" t="s">
        <v>7118</v>
      </c>
      <c r="W920" t="s">
        <v>7114</v>
      </c>
      <c r="X920" t="s">
        <v>7119</v>
      </c>
      <c r="Y920" t="s">
        <v>117</v>
      </c>
      <c r="Z920" t="s">
        <v>73</v>
      </c>
      <c r="AA920" t="str">
        <f>"14215-1922"</f>
        <v>14215-1922</v>
      </c>
      <c r="AB920" t="s">
        <v>113</v>
      </c>
      <c r="AC920" t="s">
        <v>75</v>
      </c>
      <c r="AD920" t="s">
        <v>72</v>
      </c>
      <c r="AE920" t="s">
        <v>76</v>
      </c>
      <c r="AF920" t="s">
        <v>3974</v>
      </c>
      <c r="AG920" t="s">
        <v>77</v>
      </c>
    </row>
    <row r="921" spans="1:33" x14ac:dyDescent="0.25">
      <c r="A921" t="str">
        <f>"1881651008"</f>
        <v>1881651008</v>
      </c>
      <c r="B921" t="str">
        <f>"01604833"</f>
        <v>01604833</v>
      </c>
      <c r="C921" t="s">
        <v>7120</v>
      </c>
      <c r="D921" t="s">
        <v>3449</v>
      </c>
      <c r="E921" t="s">
        <v>3450</v>
      </c>
      <c r="G921" t="s">
        <v>7121</v>
      </c>
      <c r="H921" t="s">
        <v>7122</v>
      </c>
      <c r="J921" t="s">
        <v>7123</v>
      </c>
      <c r="L921" t="s">
        <v>79</v>
      </c>
      <c r="M921" t="s">
        <v>72</v>
      </c>
      <c r="R921" t="s">
        <v>3451</v>
      </c>
      <c r="W921" t="s">
        <v>3450</v>
      </c>
      <c r="X921" t="s">
        <v>1542</v>
      </c>
      <c r="Y921" t="s">
        <v>221</v>
      </c>
      <c r="Z921" t="s">
        <v>73</v>
      </c>
      <c r="AA921" t="str">
        <f>"14221-8216"</f>
        <v>14221-8216</v>
      </c>
      <c r="AB921" t="s">
        <v>74</v>
      </c>
      <c r="AC921" t="s">
        <v>75</v>
      </c>
      <c r="AD921" t="s">
        <v>72</v>
      </c>
      <c r="AE921" t="s">
        <v>76</v>
      </c>
      <c r="AG921" t="s">
        <v>77</v>
      </c>
    </row>
    <row r="922" spans="1:33" x14ac:dyDescent="0.25">
      <c r="A922" t="str">
        <f>"1518928290"</f>
        <v>1518928290</v>
      </c>
      <c r="B922" t="str">
        <f>"01954810"</f>
        <v>01954810</v>
      </c>
      <c r="C922" t="s">
        <v>7124</v>
      </c>
      <c r="D922" t="s">
        <v>1721</v>
      </c>
      <c r="E922" t="s">
        <v>1722</v>
      </c>
      <c r="G922" t="s">
        <v>7124</v>
      </c>
      <c r="H922" t="s">
        <v>1723</v>
      </c>
      <c r="J922" t="s">
        <v>7125</v>
      </c>
      <c r="L922" t="s">
        <v>80</v>
      </c>
      <c r="M922" t="s">
        <v>72</v>
      </c>
      <c r="R922" t="s">
        <v>1724</v>
      </c>
      <c r="W922" t="s">
        <v>1722</v>
      </c>
      <c r="X922" t="s">
        <v>1725</v>
      </c>
      <c r="Y922" t="s">
        <v>117</v>
      </c>
      <c r="Z922" t="s">
        <v>73</v>
      </c>
      <c r="AA922" t="str">
        <f>"14207-1640"</f>
        <v>14207-1640</v>
      </c>
      <c r="AB922" t="s">
        <v>74</v>
      </c>
      <c r="AC922" t="s">
        <v>75</v>
      </c>
      <c r="AD922" t="s">
        <v>72</v>
      </c>
      <c r="AE922" t="s">
        <v>76</v>
      </c>
      <c r="AF922" t="s">
        <v>4431</v>
      </c>
      <c r="AG922" t="s">
        <v>77</v>
      </c>
    </row>
    <row r="923" spans="1:33" x14ac:dyDescent="0.25">
      <c r="A923" t="str">
        <f>"1548365257"</f>
        <v>1548365257</v>
      </c>
      <c r="B923" t="str">
        <f>"03188745"</f>
        <v>03188745</v>
      </c>
      <c r="C923" t="s">
        <v>7126</v>
      </c>
      <c r="D923" t="s">
        <v>7127</v>
      </c>
      <c r="E923" t="s">
        <v>7128</v>
      </c>
      <c r="G923" t="s">
        <v>7126</v>
      </c>
      <c r="H923" t="s">
        <v>4732</v>
      </c>
      <c r="J923" t="s">
        <v>7129</v>
      </c>
      <c r="L923" t="s">
        <v>79</v>
      </c>
      <c r="M923" t="s">
        <v>72</v>
      </c>
      <c r="R923" t="s">
        <v>7130</v>
      </c>
      <c r="W923" t="s">
        <v>7128</v>
      </c>
      <c r="X923" t="s">
        <v>234</v>
      </c>
      <c r="Y923" t="s">
        <v>117</v>
      </c>
      <c r="Z923" t="s">
        <v>73</v>
      </c>
      <c r="AA923" t="str">
        <f>"14220-2039"</f>
        <v>14220-2039</v>
      </c>
      <c r="AB923" t="s">
        <v>74</v>
      </c>
      <c r="AC923" t="s">
        <v>75</v>
      </c>
      <c r="AD923" t="s">
        <v>72</v>
      </c>
      <c r="AE923" t="s">
        <v>76</v>
      </c>
      <c r="AF923" t="s">
        <v>3974</v>
      </c>
      <c r="AG923" t="s">
        <v>77</v>
      </c>
    </row>
    <row r="924" spans="1:33" x14ac:dyDescent="0.25">
      <c r="A924" t="str">
        <f>"1891769436"</f>
        <v>1891769436</v>
      </c>
      <c r="B924" t="str">
        <f>"01074657"</f>
        <v>01074657</v>
      </c>
      <c r="C924" t="s">
        <v>7131</v>
      </c>
      <c r="D924" t="s">
        <v>2424</v>
      </c>
      <c r="E924" t="s">
        <v>2425</v>
      </c>
      <c r="G924" t="s">
        <v>7132</v>
      </c>
      <c r="H924" t="s">
        <v>7133</v>
      </c>
      <c r="J924" t="s">
        <v>7134</v>
      </c>
      <c r="L924" t="s">
        <v>71</v>
      </c>
      <c r="M924" t="s">
        <v>72</v>
      </c>
      <c r="R924" t="s">
        <v>2426</v>
      </c>
      <c r="W924" t="s">
        <v>2425</v>
      </c>
      <c r="X924" t="s">
        <v>2427</v>
      </c>
      <c r="Y924" t="s">
        <v>117</v>
      </c>
      <c r="Z924" t="s">
        <v>73</v>
      </c>
      <c r="AA924" t="str">
        <f>"14215-3098"</f>
        <v>14215-3098</v>
      </c>
      <c r="AB924" t="s">
        <v>74</v>
      </c>
      <c r="AC924" t="s">
        <v>75</v>
      </c>
      <c r="AD924" t="s">
        <v>72</v>
      </c>
      <c r="AE924" t="s">
        <v>76</v>
      </c>
      <c r="AF924" t="s">
        <v>3974</v>
      </c>
      <c r="AG924" t="s">
        <v>77</v>
      </c>
    </row>
    <row r="925" spans="1:33" x14ac:dyDescent="0.25">
      <c r="A925" t="str">
        <f>"1902190523"</f>
        <v>1902190523</v>
      </c>
      <c r="C925" t="s">
        <v>7135</v>
      </c>
      <c r="K925" t="s">
        <v>89</v>
      </c>
      <c r="L925" t="s">
        <v>71</v>
      </c>
      <c r="M925" t="s">
        <v>72</v>
      </c>
      <c r="R925" t="s">
        <v>7136</v>
      </c>
      <c r="S925" t="s">
        <v>1924</v>
      </c>
      <c r="T925" t="s">
        <v>221</v>
      </c>
      <c r="U925" t="s">
        <v>73</v>
      </c>
      <c r="V925" t="str">
        <f>"142215367"</f>
        <v>142215367</v>
      </c>
      <c r="AC925" t="s">
        <v>75</v>
      </c>
      <c r="AD925" t="s">
        <v>72</v>
      </c>
      <c r="AE925" t="s">
        <v>93</v>
      </c>
      <c r="AF925" t="s">
        <v>3961</v>
      </c>
      <c r="AG925" t="s">
        <v>77</v>
      </c>
    </row>
    <row r="926" spans="1:33" x14ac:dyDescent="0.25">
      <c r="A926" t="str">
        <f>"1982653960"</f>
        <v>1982653960</v>
      </c>
      <c r="B926" t="str">
        <f>"02505273"</f>
        <v>02505273</v>
      </c>
      <c r="C926" t="s">
        <v>7137</v>
      </c>
      <c r="D926" t="s">
        <v>7138</v>
      </c>
      <c r="E926" t="s">
        <v>7139</v>
      </c>
      <c r="L926" t="s">
        <v>71</v>
      </c>
      <c r="M926" t="s">
        <v>72</v>
      </c>
      <c r="R926" t="s">
        <v>7140</v>
      </c>
      <c r="W926" t="s">
        <v>7139</v>
      </c>
      <c r="X926" t="s">
        <v>7139</v>
      </c>
      <c r="Y926" t="s">
        <v>863</v>
      </c>
      <c r="Z926" t="s">
        <v>73</v>
      </c>
      <c r="AA926" t="str">
        <f>"14068"</f>
        <v>14068</v>
      </c>
      <c r="AB926" t="s">
        <v>74</v>
      </c>
      <c r="AC926" t="s">
        <v>75</v>
      </c>
      <c r="AD926" t="s">
        <v>72</v>
      </c>
      <c r="AE926" t="s">
        <v>76</v>
      </c>
      <c r="AF926" t="s">
        <v>3961</v>
      </c>
      <c r="AG926" t="s">
        <v>77</v>
      </c>
    </row>
    <row r="927" spans="1:33" x14ac:dyDescent="0.25">
      <c r="A927" t="str">
        <f>"1265417059"</f>
        <v>1265417059</v>
      </c>
      <c r="B927" t="str">
        <f>"02202477"</f>
        <v>02202477</v>
      </c>
      <c r="C927" t="s">
        <v>7141</v>
      </c>
      <c r="D927" t="s">
        <v>2171</v>
      </c>
      <c r="E927" t="s">
        <v>2172</v>
      </c>
      <c r="L927" t="s">
        <v>71</v>
      </c>
      <c r="M927" t="s">
        <v>72</v>
      </c>
      <c r="R927" t="s">
        <v>2173</v>
      </c>
      <c r="W927" t="s">
        <v>2172</v>
      </c>
      <c r="X927" t="s">
        <v>2174</v>
      </c>
      <c r="Y927" t="s">
        <v>237</v>
      </c>
      <c r="Z927" t="s">
        <v>73</v>
      </c>
      <c r="AA927" t="str">
        <f>"14224-2655"</f>
        <v>14224-2655</v>
      </c>
      <c r="AB927" t="s">
        <v>74</v>
      </c>
      <c r="AC927" t="s">
        <v>75</v>
      </c>
      <c r="AD927" t="s">
        <v>72</v>
      </c>
      <c r="AE927" t="s">
        <v>76</v>
      </c>
      <c r="AF927" t="s">
        <v>3974</v>
      </c>
      <c r="AG927" t="s">
        <v>77</v>
      </c>
    </row>
    <row r="928" spans="1:33" x14ac:dyDescent="0.25">
      <c r="A928" t="str">
        <f>"1124077631"</f>
        <v>1124077631</v>
      </c>
      <c r="B928" t="str">
        <f>"02072640"</f>
        <v>02072640</v>
      </c>
      <c r="C928" t="s">
        <v>7142</v>
      </c>
      <c r="D928" t="s">
        <v>7143</v>
      </c>
      <c r="E928" t="s">
        <v>7144</v>
      </c>
      <c r="L928" t="s">
        <v>79</v>
      </c>
      <c r="M928" t="s">
        <v>72</v>
      </c>
      <c r="R928" t="s">
        <v>7145</v>
      </c>
      <c r="W928" t="s">
        <v>7144</v>
      </c>
      <c r="X928" t="s">
        <v>7146</v>
      </c>
      <c r="Y928" t="s">
        <v>240</v>
      </c>
      <c r="Z928" t="s">
        <v>73</v>
      </c>
      <c r="AA928" t="str">
        <f>"14094-5226"</f>
        <v>14094-5226</v>
      </c>
      <c r="AB928" t="s">
        <v>74</v>
      </c>
      <c r="AC928" t="s">
        <v>75</v>
      </c>
      <c r="AD928" t="s">
        <v>72</v>
      </c>
      <c r="AE928" t="s">
        <v>76</v>
      </c>
      <c r="AF928" t="s">
        <v>3974</v>
      </c>
      <c r="AG928" t="s">
        <v>77</v>
      </c>
    </row>
    <row r="929" spans="1:33" x14ac:dyDescent="0.25">
      <c r="A929" t="str">
        <f>"1649294430"</f>
        <v>1649294430</v>
      </c>
      <c r="B929" t="str">
        <f>"01105215"</f>
        <v>01105215</v>
      </c>
      <c r="C929" t="s">
        <v>7147</v>
      </c>
      <c r="D929" t="s">
        <v>1536</v>
      </c>
      <c r="E929" t="s">
        <v>1537</v>
      </c>
      <c r="G929" t="s">
        <v>4017</v>
      </c>
      <c r="H929" t="s">
        <v>597</v>
      </c>
      <c r="J929" t="s">
        <v>4018</v>
      </c>
      <c r="L929" t="s">
        <v>71</v>
      </c>
      <c r="M929" t="s">
        <v>72</v>
      </c>
      <c r="R929" t="s">
        <v>1538</v>
      </c>
      <c r="W929" t="s">
        <v>1537</v>
      </c>
      <c r="X929" t="s">
        <v>333</v>
      </c>
      <c r="Y929" t="s">
        <v>117</v>
      </c>
      <c r="Z929" t="s">
        <v>73</v>
      </c>
      <c r="AA929" t="str">
        <f>"14221-5329"</f>
        <v>14221-5329</v>
      </c>
      <c r="AB929" t="s">
        <v>74</v>
      </c>
      <c r="AC929" t="s">
        <v>75</v>
      </c>
      <c r="AD929" t="s">
        <v>72</v>
      </c>
      <c r="AE929" t="s">
        <v>76</v>
      </c>
      <c r="AF929" t="s">
        <v>3974</v>
      </c>
      <c r="AG929" t="s">
        <v>77</v>
      </c>
    </row>
    <row r="930" spans="1:33" x14ac:dyDescent="0.25">
      <c r="A930" t="str">
        <f>"1861654584"</f>
        <v>1861654584</v>
      </c>
      <c r="B930" t="str">
        <f>"03495296"</f>
        <v>03495296</v>
      </c>
      <c r="C930" t="s">
        <v>7148</v>
      </c>
      <c r="D930" t="s">
        <v>7149</v>
      </c>
      <c r="E930" t="s">
        <v>7150</v>
      </c>
      <c r="G930" t="s">
        <v>6081</v>
      </c>
      <c r="H930" t="s">
        <v>6769</v>
      </c>
      <c r="J930" t="s">
        <v>6770</v>
      </c>
      <c r="L930" t="s">
        <v>79</v>
      </c>
      <c r="M930" t="s">
        <v>72</v>
      </c>
      <c r="R930" t="s">
        <v>7151</v>
      </c>
      <c r="W930" t="s">
        <v>7152</v>
      </c>
      <c r="X930" t="s">
        <v>811</v>
      </c>
      <c r="Y930" t="s">
        <v>247</v>
      </c>
      <c r="Z930" t="s">
        <v>73</v>
      </c>
      <c r="AA930" t="str">
        <f>"14225-2500"</f>
        <v>14225-2500</v>
      </c>
      <c r="AB930" t="s">
        <v>74</v>
      </c>
      <c r="AC930" t="s">
        <v>75</v>
      </c>
      <c r="AD930" t="s">
        <v>72</v>
      </c>
      <c r="AE930" t="s">
        <v>76</v>
      </c>
      <c r="AF930" t="s">
        <v>3974</v>
      </c>
      <c r="AG930" t="s">
        <v>77</v>
      </c>
    </row>
    <row r="931" spans="1:33" x14ac:dyDescent="0.25">
      <c r="A931" t="str">
        <f>"1003875691"</f>
        <v>1003875691</v>
      </c>
      <c r="B931" t="str">
        <f>"01341620"</f>
        <v>01341620</v>
      </c>
      <c r="C931" t="s">
        <v>7153</v>
      </c>
      <c r="D931" t="s">
        <v>2085</v>
      </c>
      <c r="E931" t="s">
        <v>2086</v>
      </c>
      <c r="G931" t="s">
        <v>4727</v>
      </c>
      <c r="H931" t="s">
        <v>2908</v>
      </c>
      <c r="J931" t="s">
        <v>4728</v>
      </c>
      <c r="L931" t="s">
        <v>79</v>
      </c>
      <c r="M931" t="s">
        <v>72</v>
      </c>
      <c r="R931" t="s">
        <v>2087</v>
      </c>
      <c r="W931" t="s">
        <v>2086</v>
      </c>
      <c r="X931" t="s">
        <v>2088</v>
      </c>
      <c r="Y931" t="s">
        <v>296</v>
      </c>
      <c r="Z931" t="s">
        <v>73</v>
      </c>
      <c r="AA931" t="str">
        <f>"14086-2224"</f>
        <v>14086-2224</v>
      </c>
      <c r="AB931" t="s">
        <v>74</v>
      </c>
      <c r="AC931" t="s">
        <v>75</v>
      </c>
      <c r="AD931" t="s">
        <v>72</v>
      </c>
      <c r="AE931" t="s">
        <v>76</v>
      </c>
      <c r="AF931" t="s">
        <v>3961</v>
      </c>
      <c r="AG931" t="s">
        <v>77</v>
      </c>
    </row>
    <row r="932" spans="1:33" x14ac:dyDescent="0.25">
      <c r="A932" t="str">
        <f>"1710942818"</f>
        <v>1710942818</v>
      </c>
      <c r="B932" t="str">
        <f>"00887027"</f>
        <v>00887027</v>
      </c>
      <c r="C932" t="s">
        <v>7154</v>
      </c>
      <c r="D932" t="s">
        <v>2646</v>
      </c>
      <c r="E932" t="s">
        <v>2647</v>
      </c>
      <c r="G932" t="s">
        <v>5475</v>
      </c>
      <c r="H932" t="s">
        <v>1906</v>
      </c>
      <c r="J932" t="s">
        <v>5476</v>
      </c>
      <c r="L932" t="s">
        <v>80</v>
      </c>
      <c r="M932" t="s">
        <v>72</v>
      </c>
      <c r="R932" t="s">
        <v>2648</v>
      </c>
      <c r="W932" t="s">
        <v>2649</v>
      </c>
      <c r="X932" t="s">
        <v>2650</v>
      </c>
      <c r="Y932" t="s">
        <v>296</v>
      </c>
      <c r="Z932" t="s">
        <v>73</v>
      </c>
      <c r="AA932" t="str">
        <f>"14086-2143"</f>
        <v>14086-2143</v>
      </c>
      <c r="AB932" t="s">
        <v>74</v>
      </c>
      <c r="AC932" t="s">
        <v>75</v>
      </c>
      <c r="AD932" t="s">
        <v>72</v>
      </c>
      <c r="AE932" t="s">
        <v>76</v>
      </c>
      <c r="AF932" t="s">
        <v>3961</v>
      </c>
      <c r="AG932" t="s">
        <v>77</v>
      </c>
    </row>
    <row r="933" spans="1:33" x14ac:dyDescent="0.25">
      <c r="A933" t="str">
        <f>"1730341074"</f>
        <v>1730341074</v>
      </c>
      <c r="B933" t="str">
        <f>"03229334"</f>
        <v>03229334</v>
      </c>
      <c r="C933" t="s">
        <v>7155</v>
      </c>
      <c r="D933" t="s">
        <v>1627</v>
      </c>
      <c r="E933" t="s">
        <v>1628</v>
      </c>
      <c r="G933" t="s">
        <v>6478</v>
      </c>
      <c r="H933" t="s">
        <v>1695</v>
      </c>
      <c r="J933" t="s">
        <v>6479</v>
      </c>
      <c r="L933" t="s">
        <v>79</v>
      </c>
      <c r="M933" t="s">
        <v>72</v>
      </c>
      <c r="R933" t="s">
        <v>1629</v>
      </c>
      <c r="W933" t="s">
        <v>1628</v>
      </c>
      <c r="X933" t="s">
        <v>204</v>
      </c>
      <c r="Y933" t="s">
        <v>117</v>
      </c>
      <c r="Z933" t="s">
        <v>73</v>
      </c>
      <c r="AA933" t="str">
        <f>"14263-0001"</f>
        <v>14263-0001</v>
      </c>
      <c r="AB933" t="s">
        <v>74</v>
      </c>
      <c r="AC933" t="s">
        <v>75</v>
      </c>
      <c r="AD933" t="s">
        <v>72</v>
      </c>
      <c r="AE933" t="s">
        <v>76</v>
      </c>
      <c r="AF933" t="s">
        <v>3974</v>
      </c>
      <c r="AG933" t="s">
        <v>77</v>
      </c>
    </row>
    <row r="934" spans="1:33" x14ac:dyDescent="0.25">
      <c r="A934" t="str">
        <f>"1518931989"</f>
        <v>1518931989</v>
      </c>
      <c r="B934" t="str">
        <f>"01739899"</f>
        <v>01739899</v>
      </c>
      <c r="C934" t="s">
        <v>7156</v>
      </c>
      <c r="D934" t="s">
        <v>1726</v>
      </c>
      <c r="E934" t="s">
        <v>1727</v>
      </c>
      <c r="G934" t="s">
        <v>4786</v>
      </c>
      <c r="H934" t="s">
        <v>1728</v>
      </c>
      <c r="J934" t="s">
        <v>4787</v>
      </c>
      <c r="L934" t="s">
        <v>79</v>
      </c>
      <c r="M934" t="s">
        <v>72</v>
      </c>
      <c r="R934" t="s">
        <v>1729</v>
      </c>
      <c r="W934" t="s">
        <v>1730</v>
      </c>
      <c r="Y934" t="s">
        <v>117</v>
      </c>
      <c r="Z934" t="s">
        <v>73</v>
      </c>
      <c r="AA934" t="str">
        <f>"14214-2692"</f>
        <v>14214-2692</v>
      </c>
      <c r="AB934" t="s">
        <v>74</v>
      </c>
      <c r="AC934" t="s">
        <v>75</v>
      </c>
      <c r="AD934" t="s">
        <v>72</v>
      </c>
      <c r="AE934" t="s">
        <v>76</v>
      </c>
      <c r="AF934" t="s">
        <v>3974</v>
      </c>
      <c r="AG934" t="s">
        <v>77</v>
      </c>
    </row>
    <row r="935" spans="1:33" x14ac:dyDescent="0.25">
      <c r="A935" t="str">
        <f>"1699966242"</f>
        <v>1699966242</v>
      </c>
      <c r="B935" t="str">
        <f>"02905888"</f>
        <v>02905888</v>
      </c>
      <c r="C935" t="s">
        <v>7157</v>
      </c>
      <c r="D935" t="s">
        <v>832</v>
      </c>
      <c r="E935" t="s">
        <v>833</v>
      </c>
      <c r="G935" t="s">
        <v>5941</v>
      </c>
      <c r="H935" t="s">
        <v>617</v>
      </c>
      <c r="J935" t="s">
        <v>5942</v>
      </c>
      <c r="L935" t="s">
        <v>79</v>
      </c>
      <c r="M935" t="s">
        <v>72</v>
      </c>
      <c r="R935" t="s">
        <v>834</v>
      </c>
      <c r="W935" t="s">
        <v>833</v>
      </c>
      <c r="X935" t="s">
        <v>619</v>
      </c>
      <c r="Y935" t="s">
        <v>221</v>
      </c>
      <c r="Z935" t="s">
        <v>73</v>
      </c>
      <c r="AA935" t="str">
        <f>"14221-8024"</f>
        <v>14221-8024</v>
      </c>
      <c r="AB935" t="s">
        <v>74</v>
      </c>
      <c r="AC935" t="s">
        <v>75</v>
      </c>
      <c r="AD935" t="s">
        <v>72</v>
      </c>
      <c r="AE935" t="s">
        <v>76</v>
      </c>
      <c r="AF935" t="s">
        <v>3974</v>
      </c>
      <c r="AG935" t="s">
        <v>77</v>
      </c>
    </row>
    <row r="936" spans="1:33" x14ac:dyDescent="0.25">
      <c r="A936" t="str">
        <f>"1477560738"</f>
        <v>1477560738</v>
      </c>
      <c r="B936" t="str">
        <f>"03254244"</f>
        <v>03254244</v>
      </c>
      <c r="C936" t="s">
        <v>7158</v>
      </c>
      <c r="D936" t="s">
        <v>714</v>
      </c>
      <c r="E936" t="s">
        <v>715</v>
      </c>
      <c r="G936" t="s">
        <v>7159</v>
      </c>
      <c r="H936" t="s">
        <v>623</v>
      </c>
      <c r="J936" t="s">
        <v>7160</v>
      </c>
      <c r="L936" t="s">
        <v>79</v>
      </c>
      <c r="M936" t="s">
        <v>72</v>
      </c>
      <c r="R936" t="s">
        <v>715</v>
      </c>
      <c r="W936" t="s">
        <v>716</v>
      </c>
      <c r="X936" t="s">
        <v>625</v>
      </c>
      <c r="Y936" t="s">
        <v>326</v>
      </c>
      <c r="Z936" t="s">
        <v>73</v>
      </c>
      <c r="AA936" t="str">
        <f>"14127-1573"</f>
        <v>14127-1573</v>
      </c>
      <c r="AB936" t="s">
        <v>74</v>
      </c>
      <c r="AC936" t="s">
        <v>75</v>
      </c>
      <c r="AD936" t="s">
        <v>72</v>
      </c>
      <c r="AE936" t="s">
        <v>76</v>
      </c>
      <c r="AF936" t="s">
        <v>3974</v>
      </c>
      <c r="AG936" t="s">
        <v>77</v>
      </c>
    </row>
    <row r="937" spans="1:33" x14ac:dyDescent="0.25">
      <c r="A937" t="str">
        <f>"1073628244"</f>
        <v>1073628244</v>
      </c>
      <c r="B937" t="str">
        <f>"02414840"</f>
        <v>02414840</v>
      </c>
      <c r="C937" t="s">
        <v>7161</v>
      </c>
      <c r="D937" t="s">
        <v>2739</v>
      </c>
      <c r="E937" t="s">
        <v>2740</v>
      </c>
      <c r="G937" t="s">
        <v>7161</v>
      </c>
      <c r="H937" t="s">
        <v>5362</v>
      </c>
      <c r="J937" t="s">
        <v>7162</v>
      </c>
      <c r="L937" t="s">
        <v>79</v>
      </c>
      <c r="M937" t="s">
        <v>72</v>
      </c>
      <c r="R937" t="s">
        <v>2741</v>
      </c>
      <c r="W937" t="s">
        <v>2740</v>
      </c>
      <c r="X937" t="s">
        <v>2742</v>
      </c>
      <c r="Y937" t="s">
        <v>221</v>
      </c>
      <c r="Z937" t="s">
        <v>73</v>
      </c>
      <c r="AA937" t="str">
        <f>"14221-7385"</f>
        <v>14221-7385</v>
      </c>
      <c r="AB937" t="s">
        <v>74</v>
      </c>
      <c r="AC937" t="s">
        <v>75</v>
      </c>
      <c r="AD937" t="s">
        <v>72</v>
      </c>
      <c r="AE937" t="s">
        <v>76</v>
      </c>
      <c r="AF937" t="s">
        <v>3974</v>
      </c>
      <c r="AG937" t="s">
        <v>77</v>
      </c>
    </row>
    <row r="938" spans="1:33" x14ac:dyDescent="0.25">
      <c r="A938" t="str">
        <f>"1437117264"</f>
        <v>1437117264</v>
      </c>
      <c r="B938" t="str">
        <f>"01223069"</f>
        <v>01223069</v>
      </c>
      <c r="C938" t="s">
        <v>7163</v>
      </c>
      <c r="D938" t="s">
        <v>7164</v>
      </c>
      <c r="E938" t="s">
        <v>7165</v>
      </c>
      <c r="G938" t="s">
        <v>3969</v>
      </c>
      <c r="H938" t="s">
        <v>3970</v>
      </c>
      <c r="J938" t="s">
        <v>3971</v>
      </c>
      <c r="L938" t="s">
        <v>79</v>
      </c>
      <c r="M938" t="s">
        <v>72</v>
      </c>
      <c r="R938" t="s">
        <v>7166</v>
      </c>
      <c r="W938" t="s">
        <v>7165</v>
      </c>
      <c r="X938" t="s">
        <v>234</v>
      </c>
      <c r="Y938" t="s">
        <v>117</v>
      </c>
      <c r="Z938" t="s">
        <v>73</v>
      </c>
      <c r="AA938" t="str">
        <f>"14220-2039"</f>
        <v>14220-2039</v>
      </c>
      <c r="AB938" t="s">
        <v>74</v>
      </c>
      <c r="AC938" t="s">
        <v>75</v>
      </c>
      <c r="AD938" t="s">
        <v>72</v>
      </c>
      <c r="AE938" t="s">
        <v>76</v>
      </c>
      <c r="AF938" t="s">
        <v>3974</v>
      </c>
      <c r="AG938" t="s">
        <v>77</v>
      </c>
    </row>
    <row r="939" spans="1:33" x14ac:dyDescent="0.25">
      <c r="A939" t="str">
        <f>"1093973471"</f>
        <v>1093973471</v>
      </c>
      <c r="B939" t="str">
        <f>"03135733"</f>
        <v>03135733</v>
      </c>
      <c r="C939" t="s">
        <v>7167</v>
      </c>
      <c r="D939" t="s">
        <v>3304</v>
      </c>
      <c r="E939" t="s">
        <v>3305</v>
      </c>
      <c r="G939" t="s">
        <v>5498</v>
      </c>
      <c r="H939" t="s">
        <v>1808</v>
      </c>
      <c r="J939" t="s">
        <v>5499</v>
      </c>
      <c r="L939" t="s">
        <v>79</v>
      </c>
      <c r="M939" t="s">
        <v>72</v>
      </c>
      <c r="R939" t="s">
        <v>3306</v>
      </c>
      <c r="W939" t="s">
        <v>3307</v>
      </c>
      <c r="X939" t="s">
        <v>1209</v>
      </c>
      <c r="Y939" t="s">
        <v>237</v>
      </c>
      <c r="Z939" t="s">
        <v>73</v>
      </c>
      <c r="AA939" t="str">
        <f>"14224-3444"</f>
        <v>14224-3444</v>
      </c>
      <c r="AB939" t="s">
        <v>74</v>
      </c>
      <c r="AC939" t="s">
        <v>75</v>
      </c>
      <c r="AD939" t="s">
        <v>72</v>
      </c>
      <c r="AE939" t="s">
        <v>76</v>
      </c>
      <c r="AF939" t="s">
        <v>3974</v>
      </c>
      <c r="AG939" t="s">
        <v>77</v>
      </c>
    </row>
    <row r="940" spans="1:33" x14ac:dyDescent="0.25">
      <c r="A940" t="str">
        <f>"1629150792"</f>
        <v>1629150792</v>
      </c>
      <c r="B940" t="str">
        <f>"00780089"</f>
        <v>00780089</v>
      </c>
      <c r="C940" t="s">
        <v>7168</v>
      </c>
      <c r="D940" t="s">
        <v>3416</v>
      </c>
      <c r="E940" t="s">
        <v>3417</v>
      </c>
      <c r="G940" t="s">
        <v>4825</v>
      </c>
      <c r="H940" t="s">
        <v>4826</v>
      </c>
      <c r="J940" t="s">
        <v>4827</v>
      </c>
      <c r="L940" t="s">
        <v>79</v>
      </c>
      <c r="M940" t="s">
        <v>72</v>
      </c>
      <c r="R940" t="s">
        <v>3418</v>
      </c>
      <c r="W940" t="s">
        <v>3419</v>
      </c>
      <c r="X940" t="s">
        <v>234</v>
      </c>
      <c r="Y940" t="s">
        <v>117</v>
      </c>
      <c r="Z940" t="s">
        <v>73</v>
      </c>
      <c r="AA940" t="str">
        <f>"14220-2095"</f>
        <v>14220-2095</v>
      </c>
      <c r="AB940" t="s">
        <v>74</v>
      </c>
      <c r="AC940" t="s">
        <v>75</v>
      </c>
      <c r="AD940" t="s">
        <v>72</v>
      </c>
      <c r="AE940" t="s">
        <v>76</v>
      </c>
      <c r="AF940" t="s">
        <v>3974</v>
      </c>
      <c r="AG940" t="s">
        <v>77</v>
      </c>
    </row>
    <row r="941" spans="1:33" x14ac:dyDescent="0.25">
      <c r="A941" t="str">
        <f>"1043257462"</f>
        <v>1043257462</v>
      </c>
      <c r="B941" t="str">
        <f>"02413041"</f>
        <v>02413041</v>
      </c>
      <c r="C941" t="s">
        <v>7169</v>
      </c>
      <c r="D941" t="s">
        <v>2984</v>
      </c>
      <c r="E941" t="s">
        <v>2985</v>
      </c>
      <c r="G941" t="s">
        <v>4727</v>
      </c>
      <c r="H941" t="s">
        <v>2908</v>
      </c>
      <c r="J941" t="s">
        <v>4728</v>
      </c>
      <c r="L941" t="s">
        <v>79</v>
      </c>
      <c r="M941" t="s">
        <v>72</v>
      </c>
      <c r="R941" t="s">
        <v>2986</v>
      </c>
      <c r="W941" t="s">
        <v>2985</v>
      </c>
      <c r="X941" t="s">
        <v>2987</v>
      </c>
      <c r="Y941" t="s">
        <v>436</v>
      </c>
      <c r="Z941" t="s">
        <v>73</v>
      </c>
      <c r="AA941" t="str">
        <f>"14217-1039"</f>
        <v>14217-1039</v>
      </c>
      <c r="AB941" t="s">
        <v>74</v>
      </c>
      <c r="AC941" t="s">
        <v>75</v>
      </c>
      <c r="AD941" t="s">
        <v>72</v>
      </c>
      <c r="AE941" t="s">
        <v>76</v>
      </c>
      <c r="AF941" t="s">
        <v>3961</v>
      </c>
      <c r="AG941" t="s">
        <v>77</v>
      </c>
    </row>
    <row r="942" spans="1:33" x14ac:dyDescent="0.25">
      <c r="A942" t="str">
        <f>"1205890308"</f>
        <v>1205890308</v>
      </c>
      <c r="B942" t="str">
        <f>"01358974"</f>
        <v>01358974</v>
      </c>
      <c r="C942" t="s">
        <v>7170</v>
      </c>
      <c r="D942" t="s">
        <v>2577</v>
      </c>
      <c r="E942" t="s">
        <v>2578</v>
      </c>
      <c r="G942" t="s">
        <v>7171</v>
      </c>
      <c r="H942" t="s">
        <v>2579</v>
      </c>
      <c r="J942" t="s">
        <v>7172</v>
      </c>
      <c r="L942" t="s">
        <v>80</v>
      </c>
      <c r="M942" t="s">
        <v>72</v>
      </c>
      <c r="R942" t="s">
        <v>2580</v>
      </c>
      <c r="W942" t="s">
        <v>2578</v>
      </c>
      <c r="X942" t="s">
        <v>2581</v>
      </c>
      <c r="Y942" t="s">
        <v>1079</v>
      </c>
      <c r="Z942" t="s">
        <v>73</v>
      </c>
      <c r="AA942" t="str">
        <f>"14075-3762"</f>
        <v>14075-3762</v>
      </c>
      <c r="AB942" t="s">
        <v>74</v>
      </c>
      <c r="AC942" t="s">
        <v>75</v>
      </c>
      <c r="AD942" t="s">
        <v>72</v>
      </c>
      <c r="AE942" t="s">
        <v>76</v>
      </c>
      <c r="AF942" t="s">
        <v>3961</v>
      </c>
      <c r="AG942" t="s">
        <v>77</v>
      </c>
    </row>
    <row r="943" spans="1:33" x14ac:dyDescent="0.25">
      <c r="A943" t="str">
        <f>"1932335924"</f>
        <v>1932335924</v>
      </c>
      <c r="B943" t="str">
        <f>"03687152"</f>
        <v>03687152</v>
      </c>
      <c r="C943" t="s">
        <v>7173</v>
      </c>
      <c r="D943" t="s">
        <v>921</v>
      </c>
      <c r="E943" t="s">
        <v>922</v>
      </c>
      <c r="G943" t="s">
        <v>7173</v>
      </c>
      <c r="H943" t="s">
        <v>603</v>
      </c>
      <c r="J943" t="s">
        <v>7174</v>
      </c>
      <c r="L943" t="s">
        <v>79</v>
      </c>
      <c r="M943" t="s">
        <v>72</v>
      </c>
      <c r="R943" t="s">
        <v>923</v>
      </c>
      <c r="W943" t="s">
        <v>922</v>
      </c>
      <c r="X943" t="s">
        <v>924</v>
      </c>
      <c r="Y943" t="s">
        <v>117</v>
      </c>
      <c r="Z943" t="s">
        <v>73</v>
      </c>
      <c r="AA943" t="str">
        <f>"14207-1816"</f>
        <v>14207-1816</v>
      </c>
      <c r="AB943" t="s">
        <v>74</v>
      </c>
      <c r="AC943" t="s">
        <v>75</v>
      </c>
      <c r="AD943" t="s">
        <v>72</v>
      </c>
      <c r="AE943" t="s">
        <v>76</v>
      </c>
      <c r="AF943" t="s">
        <v>3961</v>
      </c>
      <c r="AG943" t="s">
        <v>77</v>
      </c>
    </row>
    <row r="944" spans="1:33" x14ac:dyDescent="0.25">
      <c r="A944" t="str">
        <f>"1053361816"</f>
        <v>1053361816</v>
      </c>
      <c r="B944" t="str">
        <f>"01842800"</f>
        <v>01842800</v>
      </c>
      <c r="C944" t="s">
        <v>7175</v>
      </c>
      <c r="D944" t="s">
        <v>7176</v>
      </c>
      <c r="E944" t="s">
        <v>3936</v>
      </c>
      <c r="G944" t="s">
        <v>5156</v>
      </c>
      <c r="H944" t="s">
        <v>1927</v>
      </c>
      <c r="J944" t="s">
        <v>5157</v>
      </c>
      <c r="L944" t="s">
        <v>80</v>
      </c>
      <c r="M944" t="s">
        <v>72</v>
      </c>
      <c r="R944" t="s">
        <v>7177</v>
      </c>
      <c r="W944" t="s">
        <v>7178</v>
      </c>
      <c r="X944" t="s">
        <v>5955</v>
      </c>
      <c r="Y944" t="s">
        <v>237</v>
      </c>
      <c r="Z944" t="s">
        <v>73</v>
      </c>
      <c r="AA944" t="str">
        <f>"14224-3332"</f>
        <v>14224-3332</v>
      </c>
      <c r="AB944" t="s">
        <v>74</v>
      </c>
      <c r="AC944" t="s">
        <v>75</v>
      </c>
      <c r="AD944" t="s">
        <v>72</v>
      </c>
      <c r="AE944" t="s">
        <v>76</v>
      </c>
      <c r="AF944" t="s">
        <v>3961</v>
      </c>
      <c r="AG944" t="s">
        <v>77</v>
      </c>
    </row>
    <row r="945" spans="1:33" x14ac:dyDescent="0.25">
      <c r="A945" t="str">
        <f>"1972772838"</f>
        <v>1972772838</v>
      </c>
      <c r="B945" t="str">
        <f>"00481021"</f>
        <v>00481021</v>
      </c>
      <c r="C945" t="s">
        <v>7179</v>
      </c>
      <c r="D945" t="s">
        <v>1337</v>
      </c>
      <c r="E945" t="s">
        <v>1338</v>
      </c>
      <c r="G945" t="s">
        <v>7179</v>
      </c>
      <c r="H945" t="s">
        <v>1339</v>
      </c>
      <c r="L945" t="s">
        <v>71</v>
      </c>
      <c r="M945" t="s">
        <v>72</v>
      </c>
      <c r="R945" t="s">
        <v>1340</v>
      </c>
      <c r="W945" t="s">
        <v>1338</v>
      </c>
      <c r="X945" t="s">
        <v>265</v>
      </c>
      <c r="Y945" t="s">
        <v>221</v>
      </c>
      <c r="Z945" t="s">
        <v>73</v>
      </c>
      <c r="AA945" t="str">
        <f>"14221-8208"</f>
        <v>14221-8208</v>
      </c>
      <c r="AB945" t="s">
        <v>74</v>
      </c>
      <c r="AC945" t="s">
        <v>75</v>
      </c>
      <c r="AD945" t="s">
        <v>72</v>
      </c>
      <c r="AE945" t="s">
        <v>76</v>
      </c>
      <c r="AF945" t="s">
        <v>3974</v>
      </c>
      <c r="AG945" t="s">
        <v>77</v>
      </c>
    </row>
    <row r="946" spans="1:33" x14ac:dyDescent="0.25">
      <c r="A946" t="str">
        <f>"1821095118"</f>
        <v>1821095118</v>
      </c>
      <c r="B946" t="str">
        <f>"01200857"</f>
        <v>01200857</v>
      </c>
      <c r="C946" t="s">
        <v>7180</v>
      </c>
      <c r="D946" t="s">
        <v>2851</v>
      </c>
      <c r="E946" t="s">
        <v>2852</v>
      </c>
      <c r="G946" t="s">
        <v>4714</v>
      </c>
      <c r="H946" t="s">
        <v>4715</v>
      </c>
      <c r="J946" t="s">
        <v>4716</v>
      </c>
      <c r="L946" t="s">
        <v>80</v>
      </c>
      <c r="M946" t="s">
        <v>81</v>
      </c>
      <c r="R946" t="s">
        <v>2853</v>
      </c>
      <c r="W946" t="s">
        <v>2852</v>
      </c>
      <c r="X946" t="s">
        <v>974</v>
      </c>
      <c r="Y946" t="s">
        <v>209</v>
      </c>
      <c r="Z946" t="s">
        <v>73</v>
      </c>
      <c r="AA946" t="str">
        <f>"14301-1807"</f>
        <v>14301-1807</v>
      </c>
      <c r="AB946" t="s">
        <v>74</v>
      </c>
      <c r="AC946" t="s">
        <v>75</v>
      </c>
      <c r="AD946" t="s">
        <v>72</v>
      </c>
      <c r="AE946" t="s">
        <v>76</v>
      </c>
      <c r="AG946" t="s">
        <v>77</v>
      </c>
    </row>
    <row r="947" spans="1:33" x14ac:dyDescent="0.25">
      <c r="A947" t="str">
        <f>"1144216953"</f>
        <v>1144216953</v>
      </c>
      <c r="B947" t="str">
        <f>"00886517"</f>
        <v>00886517</v>
      </c>
      <c r="C947" t="s">
        <v>7181</v>
      </c>
      <c r="D947" t="s">
        <v>7182</v>
      </c>
      <c r="E947" t="s">
        <v>7183</v>
      </c>
      <c r="G947" t="s">
        <v>7181</v>
      </c>
      <c r="H947" t="s">
        <v>7184</v>
      </c>
      <c r="J947" t="s">
        <v>7185</v>
      </c>
      <c r="L947" t="s">
        <v>71</v>
      </c>
      <c r="M947" t="s">
        <v>72</v>
      </c>
      <c r="R947" t="s">
        <v>7186</v>
      </c>
      <c r="W947" t="s">
        <v>7183</v>
      </c>
      <c r="X947" t="s">
        <v>1894</v>
      </c>
      <c r="Y947" t="s">
        <v>117</v>
      </c>
      <c r="Z947" t="s">
        <v>73</v>
      </c>
      <c r="AA947" t="str">
        <f>"14203-2209"</f>
        <v>14203-2209</v>
      </c>
      <c r="AB947" t="s">
        <v>74</v>
      </c>
      <c r="AC947" t="s">
        <v>75</v>
      </c>
      <c r="AD947" t="s">
        <v>72</v>
      </c>
      <c r="AE947" t="s">
        <v>76</v>
      </c>
      <c r="AF947" t="s">
        <v>3974</v>
      </c>
      <c r="AG947" t="s">
        <v>77</v>
      </c>
    </row>
    <row r="948" spans="1:33" x14ac:dyDescent="0.25">
      <c r="A948" t="str">
        <f>"1598790818"</f>
        <v>1598790818</v>
      </c>
      <c r="B948" t="str">
        <f>"01885107"</f>
        <v>01885107</v>
      </c>
      <c r="C948" t="s">
        <v>7187</v>
      </c>
      <c r="D948" t="s">
        <v>741</v>
      </c>
      <c r="E948" t="s">
        <v>742</v>
      </c>
      <c r="G948" t="s">
        <v>4995</v>
      </c>
      <c r="H948" t="s">
        <v>743</v>
      </c>
      <c r="J948" t="s">
        <v>4996</v>
      </c>
      <c r="L948" t="s">
        <v>79</v>
      </c>
      <c r="M948" t="s">
        <v>72</v>
      </c>
      <c r="R948" t="s">
        <v>744</v>
      </c>
      <c r="W948" t="s">
        <v>745</v>
      </c>
      <c r="X948" t="s">
        <v>746</v>
      </c>
      <c r="Y948" t="s">
        <v>228</v>
      </c>
      <c r="Z948" t="s">
        <v>73</v>
      </c>
      <c r="AA948" t="str">
        <f>"14226-1548"</f>
        <v>14226-1548</v>
      </c>
      <c r="AB948" t="s">
        <v>74</v>
      </c>
      <c r="AC948" t="s">
        <v>75</v>
      </c>
      <c r="AD948" t="s">
        <v>72</v>
      </c>
      <c r="AE948" t="s">
        <v>76</v>
      </c>
      <c r="AF948" t="s">
        <v>3974</v>
      </c>
      <c r="AG948" t="s">
        <v>77</v>
      </c>
    </row>
    <row r="949" spans="1:33" x14ac:dyDescent="0.25">
      <c r="A949" t="str">
        <f>"1407841356"</f>
        <v>1407841356</v>
      </c>
      <c r="B949" t="str">
        <f>"03768265"</f>
        <v>03768265</v>
      </c>
      <c r="C949" t="s">
        <v>7188</v>
      </c>
      <c r="D949" t="s">
        <v>926</v>
      </c>
      <c r="E949" t="s">
        <v>927</v>
      </c>
      <c r="G949" t="s">
        <v>5402</v>
      </c>
      <c r="H949" t="s">
        <v>877</v>
      </c>
      <c r="J949" t="s">
        <v>5403</v>
      </c>
      <c r="L949" t="s">
        <v>79</v>
      </c>
      <c r="M949" t="s">
        <v>72</v>
      </c>
      <c r="R949" t="s">
        <v>928</v>
      </c>
      <c r="W949" t="s">
        <v>927</v>
      </c>
      <c r="X949" t="s">
        <v>929</v>
      </c>
      <c r="Y949" t="s">
        <v>930</v>
      </c>
      <c r="Z949" t="s">
        <v>73</v>
      </c>
      <c r="AA949" t="str">
        <f>"14723-9820"</f>
        <v>14723-9820</v>
      </c>
      <c r="AB949" t="s">
        <v>74</v>
      </c>
      <c r="AC949" t="s">
        <v>75</v>
      </c>
      <c r="AD949" t="s">
        <v>72</v>
      </c>
      <c r="AE949" t="s">
        <v>76</v>
      </c>
      <c r="AF949" t="s">
        <v>4049</v>
      </c>
      <c r="AG949" t="s">
        <v>77</v>
      </c>
    </row>
    <row r="950" spans="1:33" x14ac:dyDescent="0.25">
      <c r="A950" t="str">
        <f>"1639339716"</f>
        <v>1639339716</v>
      </c>
      <c r="B950" t="str">
        <f>"02992556"</f>
        <v>02992556</v>
      </c>
      <c r="C950" t="s">
        <v>7189</v>
      </c>
      <c r="D950" t="s">
        <v>2299</v>
      </c>
      <c r="E950" t="s">
        <v>2300</v>
      </c>
      <c r="G950" t="s">
        <v>4974</v>
      </c>
      <c r="H950" t="s">
        <v>949</v>
      </c>
      <c r="J950" t="s">
        <v>4975</v>
      </c>
      <c r="L950" t="s">
        <v>79</v>
      </c>
      <c r="M950" t="s">
        <v>72</v>
      </c>
      <c r="R950" t="s">
        <v>2301</v>
      </c>
      <c r="W950" t="s">
        <v>2302</v>
      </c>
      <c r="X950" t="s">
        <v>553</v>
      </c>
      <c r="Y950" t="s">
        <v>221</v>
      </c>
      <c r="Z950" t="s">
        <v>73</v>
      </c>
      <c r="AA950" t="str">
        <f>"14221-6800"</f>
        <v>14221-6800</v>
      </c>
      <c r="AB950" t="s">
        <v>74</v>
      </c>
      <c r="AC950" t="s">
        <v>75</v>
      </c>
      <c r="AD950" t="s">
        <v>72</v>
      </c>
      <c r="AE950" t="s">
        <v>76</v>
      </c>
      <c r="AF950" t="s">
        <v>3974</v>
      </c>
      <c r="AG950" t="s">
        <v>77</v>
      </c>
    </row>
    <row r="951" spans="1:33" x14ac:dyDescent="0.25">
      <c r="A951" t="str">
        <f>"1487619946"</f>
        <v>1487619946</v>
      </c>
      <c r="B951" t="str">
        <f>"00711000"</f>
        <v>00711000</v>
      </c>
      <c r="C951" t="s">
        <v>7190</v>
      </c>
      <c r="D951" t="s">
        <v>2047</v>
      </c>
      <c r="E951" t="s">
        <v>2048</v>
      </c>
      <c r="G951" t="s">
        <v>7191</v>
      </c>
      <c r="H951" t="s">
        <v>7192</v>
      </c>
      <c r="J951" t="s">
        <v>5166</v>
      </c>
      <c r="L951" t="s">
        <v>79</v>
      </c>
      <c r="M951" t="s">
        <v>72</v>
      </c>
      <c r="R951" t="s">
        <v>2049</v>
      </c>
      <c r="W951" t="s">
        <v>2050</v>
      </c>
      <c r="X951" t="s">
        <v>219</v>
      </c>
      <c r="Y951" t="s">
        <v>117</v>
      </c>
      <c r="Z951" t="s">
        <v>73</v>
      </c>
      <c r="AA951" t="str">
        <f>"14203-1194"</f>
        <v>14203-1194</v>
      </c>
      <c r="AB951" t="s">
        <v>74</v>
      </c>
      <c r="AC951" t="s">
        <v>75</v>
      </c>
      <c r="AD951" t="s">
        <v>72</v>
      </c>
      <c r="AE951" t="s">
        <v>76</v>
      </c>
      <c r="AG951" t="s">
        <v>77</v>
      </c>
    </row>
    <row r="952" spans="1:33" x14ac:dyDescent="0.25">
      <c r="A952" t="str">
        <f>"1841233442"</f>
        <v>1841233442</v>
      </c>
      <c r="B952" t="str">
        <f>"01647685"</f>
        <v>01647685</v>
      </c>
      <c r="C952" t="s">
        <v>7193</v>
      </c>
      <c r="D952" t="s">
        <v>3792</v>
      </c>
      <c r="E952" t="s">
        <v>3793</v>
      </c>
      <c r="G952" t="s">
        <v>7193</v>
      </c>
      <c r="H952" t="s">
        <v>3970</v>
      </c>
      <c r="J952" t="s">
        <v>7194</v>
      </c>
      <c r="L952" t="s">
        <v>79</v>
      </c>
      <c r="M952" t="s">
        <v>72</v>
      </c>
      <c r="R952" t="s">
        <v>3794</v>
      </c>
      <c r="W952" t="s">
        <v>3793</v>
      </c>
      <c r="X952" t="s">
        <v>169</v>
      </c>
      <c r="Y952" t="s">
        <v>117</v>
      </c>
      <c r="Z952" t="s">
        <v>73</v>
      </c>
      <c r="AA952" t="str">
        <f>"14209-1120"</f>
        <v>14209-1120</v>
      </c>
      <c r="AB952" t="s">
        <v>74</v>
      </c>
      <c r="AC952" t="s">
        <v>75</v>
      </c>
      <c r="AD952" t="s">
        <v>72</v>
      </c>
      <c r="AE952" t="s">
        <v>76</v>
      </c>
      <c r="AF952" t="s">
        <v>3974</v>
      </c>
      <c r="AG952" t="s">
        <v>77</v>
      </c>
    </row>
    <row r="953" spans="1:33" x14ac:dyDescent="0.25">
      <c r="A953" t="str">
        <f>"1487673281"</f>
        <v>1487673281</v>
      </c>
      <c r="B953" t="str">
        <f>"01885189"</f>
        <v>01885189</v>
      </c>
      <c r="C953" t="s">
        <v>7195</v>
      </c>
      <c r="D953" t="s">
        <v>7196</v>
      </c>
      <c r="E953" t="s">
        <v>7197</v>
      </c>
      <c r="G953" t="s">
        <v>4647</v>
      </c>
      <c r="H953" t="s">
        <v>2062</v>
      </c>
      <c r="J953" t="s">
        <v>4648</v>
      </c>
      <c r="L953" t="s">
        <v>80</v>
      </c>
      <c r="M953" t="s">
        <v>72</v>
      </c>
      <c r="R953" t="s">
        <v>7198</v>
      </c>
      <c r="W953" t="s">
        <v>7197</v>
      </c>
      <c r="X953" t="s">
        <v>7199</v>
      </c>
      <c r="Y953" t="s">
        <v>228</v>
      </c>
      <c r="Z953" t="s">
        <v>73</v>
      </c>
      <c r="AA953" t="str">
        <f>"14226-2500"</f>
        <v>14226-2500</v>
      </c>
      <c r="AB953" t="s">
        <v>74</v>
      </c>
      <c r="AC953" t="s">
        <v>75</v>
      </c>
      <c r="AD953" t="s">
        <v>72</v>
      </c>
      <c r="AE953" t="s">
        <v>76</v>
      </c>
      <c r="AF953" t="s">
        <v>3961</v>
      </c>
      <c r="AG953" t="s">
        <v>77</v>
      </c>
    </row>
    <row r="954" spans="1:33" x14ac:dyDescent="0.25">
      <c r="A954" t="str">
        <f>"1598905390"</f>
        <v>1598905390</v>
      </c>
      <c r="B954" t="str">
        <f>"03140810"</f>
        <v>03140810</v>
      </c>
      <c r="C954" t="s">
        <v>7200</v>
      </c>
      <c r="D954" t="s">
        <v>7201</v>
      </c>
      <c r="E954" t="s">
        <v>7202</v>
      </c>
      <c r="G954" t="s">
        <v>4883</v>
      </c>
      <c r="H954" t="s">
        <v>7203</v>
      </c>
      <c r="J954" t="s">
        <v>4884</v>
      </c>
      <c r="L954" t="s">
        <v>79</v>
      </c>
      <c r="M954" t="s">
        <v>72</v>
      </c>
      <c r="R954" t="s">
        <v>7204</v>
      </c>
      <c r="W954" t="s">
        <v>7205</v>
      </c>
      <c r="X954" t="s">
        <v>3630</v>
      </c>
      <c r="Y954" t="s">
        <v>188</v>
      </c>
      <c r="Z954" t="s">
        <v>73</v>
      </c>
      <c r="AA954" t="str">
        <f>"14092-2149"</f>
        <v>14092-2149</v>
      </c>
      <c r="AB954" t="s">
        <v>74</v>
      </c>
      <c r="AC954" t="s">
        <v>75</v>
      </c>
      <c r="AD954" t="s">
        <v>72</v>
      </c>
      <c r="AE954" t="s">
        <v>76</v>
      </c>
      <c r="AF954" t="s">
        <v>3961</v>
      </c>
      <c r="AG954" t="s">
        <v>77</v>
      </c>
    </row>
    <row r="955" spans="1:33" x14ac:dyDescent="0.25">
      <c r="A955" t="str">
        <f>"1265416598"</f>
        <v>1265416598</v>
      </c>
      <c r="B955" t="str">
        <f>"02110983"</f>
        <v>02110983</v>
      </c>
      <c r="C955" t="s">
        <v>7206</v>
      </c>
      <c r="D955" t="s">
        <v>3533</v>
      </c>
      <c r="E955" t="s">
        <v>3534</v>
      </c>
      <c r="G955" t="s">
        <v>7207</v>
      </c>
      <c r="H955" t="s">
        <v>7208</v>
      </c>
      <c r="J955" t="s">
        <v>7209</v>
      </c>
      <c r="L955" t="s">
        <v>79</v>
      </c>
      <c r="M955" t="s">
        <v>72</v>
      </c>
      <c r="R955" t="s">
        <v>3535</v>
      </c>
      <c r="W955" t="s">
        <v>3534</v>
      </c>
      <c r="X955" t="s">
        <v>3536</v>
      </c>
      <c r="Y955" t="s">
        <v>221</v>
      </c>
      <c r="Z955" t="s">
        <v>73</v>
      </c>
      <c r="AA955" t="str">
        <f>"14221-5799"</f>
        <v>14221-5799</v>
      </c>
      <c r="AB955" t="s">
        <v>74</v>
      </c>
      <c r="AC955" t="s">
        <v>75</v>
      </c>
      <c r="AD955" t="s">
        <v>72</v>
      </c>
      <c r="AE955" t="s">
        <v>76</v>
      </c>
      <c r="AF955" t="s">
        <v>3974</v>
      </c>
      <c r="AG955" t="s">
        <v>77</v>
      </c>
    </row>
    <row r="956" spans="1:33" x14ac:dyDescent="0.25">
      <c r="A956" t="str">
        <f>"1316929169"</f>
        <v>1316929169</v>
      </c>
      <c r="B956" t="str">
        <f>"00834639"</f>
        <v>00834639</v>
      </c>
      <c r="C956" t="s">
        <v>7210</v>
      </c>
      <c r="D956" t="s">
        <v>7211</v>
      </c>
      <c r="E956" t="s">
        <v>7212</v>
      </c>
      <c r="G956" t="s">
        <v>7213</v>
      </c>
      <c r="H956" t="s">
        <v>7214</v>
      </c>
      <c r="J956" t="s">
        <v>7215</v>
      </c>
      <c r="L956" t="s">
        <v>79</v>
      </c>
      <c r="M956" t="s">
        <v>72</v>
      </c>
      <c r="R956" t="s">
        <v>7216</v>
      </c>
      <c r="W956" t="s">
        <v>7212</v>
      </c>
      <c r="X956" t="s">
        <v>7217</v>
      </c>
      <c r="Y956" t="s">
        <v>436</v>
      </c>
      <c r="Z956" t="s">
        <v>73</v>
      </c>
      <c r="AA956" t="str">
        <f>"14223-1441"</f>
        <v>14223-1441</v>
      </c>
      <c r="AB956" t="s">
        <v>74</v>
      </c>
      <c r="AC956" t="s">
        <v>75</v>
      </c>
      <c r="AD956" t="s">
        <v>72</v>
      </c>
      <c r="AE956" t="s">
        <v>76</v>
      </c>
      <c r="AF956" t="s">
        <v>3974</v>
      </c>
      <c r="AG956" t="s">
        <v>77</v>
      </c>
    </row>
    <row r="957" spans="1:33" x14ac:dyDescent="0.25">
      <c r="A957" t="str">
        <f>"1699751990"</f>
        <v>1699751990</v>
      </c>
      <c r="B957" t="str">
        <f>"00686833"</f>
        <v>00686833</v>
      </c>
      <c r="C957" t="s">
        <v>7218</v>
      </c>
      <c r="D957" t="s">
        <v>1263</v>
      </c>
      <c r="E957" t="s">
        <v>1264</v>
      </c>
      <c r="G957" t="s">
        <v>6512</v>
      </c>
      <c r="H957" t="s">
        <v>6513</v>
      </c>
      <c r="J957" t="s">
        <v>6514</v>
      </c>
      <c r="L957" t="s">
        <v>79</v>
      </c>
      <c r="M957" t="s">
        <v>72</v>
      </c>
      <c r="R957" t="s">
        <v>1265</v>
      </c>
      <c r="W957" t="s">
        <v>1264</v>
      </c>
      <c r="X957" t="s">
        <v>446</v>
      </c>
      <c r="Y957" t="s">
        <v>117</v>
      </c>
      <c r="Z957" t="s">
        <v>73</v>
      </c>
      <c r="AA957" t="str">
        <f>"14209-1194"</f>
        <v>14209-1194</v>
      </c>
      <c r="AB957" t="s">
        <v>74</v>
      </c>
      <c r="AC957" t="s">
        <v>75</v>
      </c>
      <c r="AD957" t="s">
        <v>72</v>
      </c>
      <c r="AE957" t="s">
        <v>76</v>
      </c>
      <c r="AF957" t="s">
        <v>3974</v>
      </c>
      <c r="AG957" t="s">
        <v>77</v>
      </c>
    </row>
    <row r="958" spans="1:33" x14ac:dyDescent="0.25">
      <c r="A958" t="str">
        <f>"1902889090"</f>
        <v>1902889090</v>
      </c>
      <c r="B958" t="str">
        <f>"01236497"</f>
        <v>01236497</v>
      </c>
      <c r="C958" t="s">
        <v>7219</v>
      </c>
      <c r="D958" t="s">
        <v>1697</v>
      </c>
      <c r="E958" t="s">
        <v>1698</v>
      </c>
      <c r="G958" t="s">
        <v>4026</v>
      </c>
      <c r="H958" t="s">
        <v>753</v>
      </c>
      <c r="J958" t="s">
        <v>4027</v>
      </c>
      <c r="L958" t="s">
        <v>79</v>
      </c>
      <c r="M958" t="s">
        <v>72</v>
      </c>
      <c r="R958" t="s">
        <v>1699</v>
      </c>
      <c r="W958" t="s">
        <v>1698</v>
      </c>
      <c r="X958" t="s">
        <v>1392</v>
      </c>
      <c r="Y958" t="s">
        <v>117</v>
      </c>
      <c r="Z958" t="s">
        <v>73</v>
      </c>
      <c r="AA958" t="str">
        <f>"14220-1700"</f>
        <v>14220-1700</v>
      </c>
      <c r="AB958" t="s">
        <v>74</v>
      </c>
      <c r="AC958" t="s">
        <v>75</v>
      </c>
      <c r="AD958" t="s">
        <v>72</v>
      </c>
      <c r="AE958" t="s">
        <v>76</v>
      </c>
      <c r="AF958" t="s">
        <v>3974</v>
      </c>
      <c r="AG958" t="s">
        <v>77</v>
      </c>
    </row>
    <row r="959" spans="1:33" x14ac:dyDescent="0.25">
      <c r="A959" t="str">
        <f>"1598726804"</f>
        <v>1598726804</v>
      </c>
      <c r="B959" t="str">
        <f>"00843747"</f>
        <v>00843747</v>
      </c>
      <c r="C959" t="s">
        <v>7220</v>
      </c>
      <c r="D959" t="s">
        <v>1003</v>
      </c>
      <c r="E959" t="s">
        <v>1004</v>
      </c>
      <c r="G959" t="s">
        <v>7221</v>
      </c>
      <c r="H959" t="s">
        <v>1005</v>
      </c>
      <c r="J959" t="s">
        <v>7222</v>
      </c>
      <c r="L959" t="s">
        <v>79</v>
      </c>
      <c r="M959" t="s">
        <v>72</v>
      </c>
      <c r="R959" t="s">
        <v>1006</v>
      </c>
      <c r="W959" t="s">
        <v>1004</v>
      </c>
      <c r="X959" t="s">
        <v>295</v>
      </c>
      <c r="Y959" t="s">
        <v>117</v>
      </c>
      <c r="Z959" t="s">
        <v>73</v>
      </c>
      <c r="AA959" t="str">
        <f>"14215-3021"</f>
        <v>14215-3021</v>
      </c>
      <c r="AB959" t="s">
        <v>74</v>
      </c>
      <c r="AC959" t="s">
        <v>75</v>
      </c>
      <c r="AD959" t="s">
        <v>72</v>
      </c>
      <c r="AE959" t="s">
        <v>76</v>
      </c>
      <c r="AF959" t="s">
        <v>3974</v>
      </c>
      <c r="AG959" t="s">
        <v>77</v>
      </c>
    </row>
    <row r="960" spans="1:33" x14ac:dyDescent="0.25">
      <c r="A960" t="str">
        <f>"1790734093"</f>
        <v>1790734093</v>
      </c>
      <c r="B960" t="str">
        <f>"01627141"</f>
        <v>01627141</v>
      </c>
      <c r="C960" t="s">
        <v>7223</v>
      </c>
      <c r="D960" t="s">
        <v>3510</v>
      </c>
      <c r="E960" t="s">
        <v>3511</v>
      </c>
      <c r="G960" t="s">
        <v>4110</v>
      </c>
      <c r="H960" t="s">
        <v>1304</v>
      </c>
      <c r="J960" t="s">
        <v>4111</v>
      </c>
      <c r="L960" t="s">
        <v>79</v>
      </c>
      <c r="M960" t="s">
        <v>72</v>
      </c>
      <c r="R960" t="s">
        <v>3512</v>
      </c>
      <c r="W960" t="s">
        <v>3511</v>
      </c>
      <c r="X960" t="s">
        <v>811</v>
      </c>
      <c r="Y960" t="s">
        <v>247</v>
      </c>
      <c r="Z960" t="s">
        <v>73</v>
      </c>
      <c r="AA960" t="str">
        <f>"14225-2500"</f>
        <v>14225-2500</v>
      </c>
      <c r="AB960" t="s">
        <v>74</v>
      </c>
      <c r="AC960" t="s">
        <v>75</v>
      </c>
      <c r="AD960" t="s">
        <v>72</v>
      </c>
      <c r="AE960" t="s">
        <v>76</v>
      </c>
      <c r="AG960" t="s">
        <v>77</v>
      </c>
    </row>
    <row r="961" spans="1:33" x14ac:dyDescent="0.25">
      <c r="A961" t="str">
        <f>"1871593053"</f>
        <v>1871593053</v>
      </c>
      <c r="B961" t="str">
        <f>"01438013"</f>
        <v>01438013</v>
      </c>
      <c r="C961" t="s">
        <v>7224</v>
      </c>
      <c r="D961" t="s">
        <v>3631</v>
      </c>
      <c r="E961" t="s">
        <v>3632</v>
      </c>
      <c r="G961" t="s">
        <v>5010</v>
      </c>
      <c r="H961" t="s">
        <v>1119</v>
      </c>
      <c r="J961" t="s">
        <v>5011</v>
      </c>
      <c r="L961" t="s">
        <v>79</v>
      </c>
      <c r="M961" t="s">
        <v>72</v>
      </c>
      <c r="R961" t="s">
        <v>3633</v>
      </c>
      <c r="W961" t="s">
        <v>3632</v>
      </c>
      <c r="X961" t="s">
        <v>3634</v>
      </c>
      <c r="Y961" t="s">
        <v>117</v>
      </c>
      <c r="Z961" t="s">
        <v>73</v>
      </c>
      <c r="AA961" t="str">
        <f>"14209-1120"</f>
        <v>14209-1120</v>
      </c>
      <c r="AB961" t="s">
        <v>74</v>
      </c>
      <c r="AC961" t="s">
        <v>75</v>
      </c>
      <c r="AD961" t="s">
        <v>72</v>
      </c>
      <c r="AE961" t="s">
        <v>76</v>
      </c>
      <c r="AF961" t="s">
        <v>3974</v>
      </c>
      <c r="AG961" t="s">
        <v>77</v>
      </c>
    </row>
    <row r="962" spans="1:33" x14ac:dyDescent="0.25">
      <c r="A962" t="str">
        <f>"1326093089"</f>
        <v>1326093089</v>
      </c>
      <c r="B962" t="str">
        <f>"01364841"</f>
        <v>01364841</v>
      </c>
      <c r="C962" t="s">
        <v>7225</v>
      </c>
      <c r="D962" t="s">
        <v>7226</v>
      </c>
      <c r="E962" t="s">
        <v>7227</v>
      </c>
      <c r="G962" t="s">
        <v>7228</v>
      </c>
      <c r="H962" t="s">
        <v>7229</v>
      </c>
      <c r="J962" t="s">
        <v>7230</v>
      </c>
      <c r="L962" t="s">
        <v>71</v>
      </c>
      <c r="M962" t="s">
        <v>81</v>
      </c>
      <c r="R962" t="s">
        <v>7231</v>
      </c>
      <c r="W962" t="s">
        <v>7227</v>
      </c>
      <c r="X962" t="s">
        <v>7232</v>
      </c>
      <c r="Y962" t="s">
        <v>392</v>
      </c>
      <c r="Z962" t="s">
        <v>73</v>
      </c>
      <c r="AA962" t="str">
        <f>"14120-6196"</f>
        <v>14120-6196</v>
      </c>
      <c r="AB962" t="s">
        <v>74</v>
      </c>
      <c r="AC962" t="s">
        <v>75</v>
      </c>
      <c r="AD962" t="s">
        <v>72</v>
      </c>
      <c r="AE962" t="s">
        <v>76</v>
      </c>
      <c r="AF962" t="s">
        <v>3974</v>
      </c>
      <c r="AG962" t="s">
        <v>77</v>
      </c>
    </row>
    <row r="963" spans="1:33" x14ac:dyDescent="0.25">
      <c r="A963" t="str">
        <f>"1861498990"</f>
        <v>1861498990</v>
      </c>
      <c r="B963" t="str">
        <f>"00953402"</f>
        <v>00953402</v>
      </c>
      <c r="C963" t="s">
        <v>7233</v>
      </c>
      <c r="D963" t="s">
        <v>7234</v>
      </c>
      <c r="E963" t="s">
        <v>7235</v>
      </c>
      <c r="G963" t="s">
        <v>4883</v>
      </c>
      <c r="H963" t="s">
        <v>6708</v>
      </c>
      <c r="J963" t="s">
        <v>5620</v>
      </c>
      <c r="L963" t="s">
        <v>79</v>
      </c>
      <c r="M963" t="s">
        <v>72</v>
      </c>
      <c r="R963" t="s">
        <v>7236</v>
      </c>
      <c r="W963" t="s">
        <v>7237</v>
      </c>
      <c r="X963" t="s">
        <v>187</v>
      </c>
      <c r="Y963" t="s">
        <v>188</v>
      </c>
      <c r="Z963" t="s">
        <v>73</v>
      </c>
      <c r="AA963" t="str">
        <f>"14092-1997"</f>
        <v>14092-1997</v>
      </c>
      <c r="AB963" t="s">
        <v>74</v>
      </c>
      <c r="AC963" t="s">
        <v>75</v>
      </c>
      <c r="AD963" t="s">
        <v>72</v>
      </c>
      <c r="AE963" t="s">
        <v>76</v>
      </c>
      <c r="AF963" t="s">
        <v>3974</v>
      </c>
      <c r="AG963" t="s">
        <v>77</v>
      </c>
    </row>
    <row r="964" spans="1:33" x14ac:dyDescent="0.25">
      <c r="A964" t="str">
        <f>"1114964988"</f>
        <v>1114964988</v>
      </c>
      <c r="B964" t="str">
        <f>"00754283"</f>
        <v>00754283</v>
      </c>
      <c r="C964" t="s">
        <v>7238</v>
      </c>
      <c r="D964" t="s">
        <v>7239</v>
      </c>
      <c r="E964" t="s">
        <v>7240</v>
      </c>
      <c r="G964" t="s">
        <v>4791</v>
      </c>
      <c r="H964" t="s">
        <v>4642</v>
      </c>
      <c r="J964" t="s">
        <v>4792</v>
      </c>
      <c r="L964" t="s">
        <v>80</v>
      </c>
      <c r="M964" t="s">
        <v>81</v>
      </c>
      <c r="R964" t="s">
        <v>7241</v>
      </c>
      <c r="W964" t="s">
        <v>7240</v>
      </c>
      <c r="X964" t="s">
        <v>7242</v>
      </c>
      <c r="Y964" t="s">
        <v>117</v>
      </c>
      <c r="Z964" t="s">
        <v>73</v>
      </c>
      <c r="AA964" t="str">
        <f>"14217-1332"</f>
        <v>14217-1332</v>
      </c>
      <c r="AB964" t="s">
        <v>74</v>
      </c>
      <c r="AC964" t="s">
        <v>75</v>
      </c>
      <c r="AD964" t="s">
        <v>72</v>
      </c>
      <c r="AE964" t="s">
        <v>76</v>
      </c>
      <c r="AF964" t="s">
        <v>3961</v>
      </c>
      <c r="AG964" t="s">
        <v>77</v>
      </c>
    </row>
    <row r="965" spans="1:33" x14ac:dyDescent="0.25">
      <c r="A965" t="str">
        <f>"1285878512"</f>
        <v>1285878512</v>
      </c>
      <c r="B965" t="str">
        <f>"02278673"</f>
        <v>02278673</v>
      </c>
      <c r="C965" t="s">
        <v>7243</v>
      </c>
      <c r="D965" t="s">
        <v>556</v>
      </c>
      <c r="E965" t="s">
        <v>557</v>
      </c>
      <c r="G965" t="s">
        <v>4066</v>
      </c>
      <c r="H965" t="s">
        <v>4067</v>
      </c>
      <c r="J965" t="s">
        <v>4068</v>
      </c>
      <c r="L965" t="s">
        <v>163</v>
      </c>
      <c r="M965" t="s">
        <v>72</v>
      </c>
      <c r="R965" t="s">
        <v>555</v>
      </c>
      <c r="W965" t="s">
        <v>558</v>
      </c>
      <c r="X965" t="s">
        <v>234</v>
      </c>
      <c r="Y965" t="s">
        <v>117</v>
      </c>
      <c r="Z965" t="s">
        <v>73</v>
      </c>
      <c r="AA965" t="str">
        <f>"14220-2039"</f>
        <v>14220-2039</v>
      </c>
      <c r="AB965" t="s">
        <v>83</v>
      </c>
      <c r="AC965" t="s">
        <v>75</v>
      </c>
      <c r="AD965" t="s">
        <v>72</v>
      </c>
      <c r="AE965" t="s">
        <v>76</v>
      </c>
      <c r="AF965" t="s">
        <v>3974</v>
      </c>
      <c r="AG965" t="s">
        <v>77</v>
      </c>
    </row>
    <row r="966" spans="1:33" x14ac:dyDescent="0.25">
      <c r="A966" t="str">
        <f>"1518964204"</f>
        <v>1518964204</v>
      </c>
      <c r="B966" t="str">
        <f>"01268299"</f>
        <v>01268299</v>
      </c>
      <c r="C966" t="s">
        <v>7244</v>
      </c>
      <c r="D966" t="s">
        <v>1147</v>
      </c>
      <c r="E966" t="s">
        <v>1148</v>
      </c>
      <c r="G966" t="s">
        <v>171</v>
      </c>
      <c r="H966" t="s">
        <v>1149</v>
      </c>
      <c r="J966" t="s">
        <v>7245</v>
      </c>
      <c r="L966" t="s">
        <v>80</v>
      </c>
      <c r="M966" t="s">
        <v>72</v>
      </c>
      <c r="R966" t="s">
        <v>1150</v>
      </c>
      <c r="W966" t="s">
        <v>1148</v>
      </c>
      <c r="X966" t="s">
        <v>376</v>
      </c>
      <c r="Y966" t="s">
        <v>221</v>
      </c>
      <c r="Z966" t="s">
        <v>73</v>
      </c>
      <c r="AA966" t="str">
        <f>"14221-3625"</f>
        <v>14221-3625</v>
      </c>
      <c r="AB966" t="s">
        <v>74</v>
      </c>
      <c r="AC966" t="s">
        <v>75</v>
      </c>
      <c r="AD966" t="s">
        <v>72</v>
      </c>
      <c r="AE966" t="s">
        <v>76</v>
      </c>
      <c r="AF966" t="s">
        <v>4431</v>
      </c>
      <c r="AG966" t="s">
        <v>77</v>
      </c>
    </row>
    <row r="967" spans="1:33" x14ac:dyDescent="0.25">
      <c r="A967" t="str">
        <f>"1467574194"</f>
        <v>1467574194</v>
      </c>
      <c r="B967" t="str">
        <f>"01842864"</f>
        <v>01842864</v>
      </c>
      <c r="C967" t="s">
        <v>7246</v>
      </c>
      <c r="D967" t="s">
        <v>1255</v>
      </c>
      <c r="E967" t="s">
        <v>1256</v>
      </c>
      <c r="G967" t="s">
        <v>4856</v>
      </c>
      <c r="H967" t="s">
        <v>1762</v>
      </c>
      <c r="J967" t="s">
        <v>4857</v>
      </c>
      <c r="L967" t="s">
        <v>71</v>
      </c>
      <c r="M967" t="s">
        <v>72</v>
      </c>
      <c r="R967" t="s">
        <v>1257</v>
      </c>
      <c r="W967" t="s">
        <v>1256</v>
      </c>
      <c r="X967" t="s">
        <v>1258</v>
      </c>
      <c r="Y967" t="s">
        <v>228</v>
      </c>
      <c r="Z967" t="s">
        <v>73</v>
      </c>
      <c r="AA967" t="str">
        <f>"14226-1039"</f>
        <v>14226-1039</v>
      </c>
      <c r="AB967" t="s">
        <v>74</v>
      </c>
      <c r="AC967" t="s">
        <v>75</v>
      </c>
      <c r="AD967" t="s">
        <v>72</v>
      </c>
      <c r="AE967" t="s">
        <v>76</v>
      </c>
      <c r="AF967" t="s">
        <v>3974</v>
      </c>
      <c r="AG967" t="s">
        <v>77</v>
      </c>
    </row>
    <row r="968" spans="1:33" x14ac:dyDescent="0.25">
      <c r="A968" t="str">
        <f>"1770556631"</f>
        <v>1770556631</v>
      </c>
      <c r="B968" t="str">
        <f>"00982807"</f>
        <v>00982807</v>
      </c>
      <c r="C968" t="s">
        <v>7247</v>
      </c>
      <c r="D968" t="s">
        <v>7248</v>
      </c>
      <c r="E968" t="s">
        <v>7249</v>
      </c>
      <c r="G968" t="s">
        <v>3988</v>
      </c>
      <c r="H968" t="s">
        <v>1302</v>
      </c>
      <c r="J968" t="s">
        <v>3989</v>
      </c>
      <c r="L968" t="s">
        <v>79</v>
      </c>
      <c r="M968" t="s">
        <v>72</v>
      </c>
      <c r="R968" t="s">
        <v>7250</v>
      </c>
      <c r="W968" t="s">
        <v>7249</v>
      </c>
      <c r="X968" t="s">
        <v>1529</v>
      </c>
      <c r="Y968" t="s">
        <v>221</v>
      </c>
      <c r="Z968" t="s">
        <v>73</v>
      </c>
      <c r="AA968" t="str">
        <f>"14221-7717"</f>
        <v>14221-7717</v>
      </c>
      <c r="AB968" t="s">
        <v>74</v>
      </c>
      <c r="AC968" t="s">
        <v>75</v>
      </c>
      <c r="AD968" t="s">
        <v>72</v>
      </c>
      <c r="AE968" t="s">
        <v>76</v>
      </c>
      <c r="AF968" t="s">
        <v>3974</v>
      </c>
      <c r="AG968" t="s">
        <v>77</v>
      </c>
    </row>
    <row r="969" spans="1:33" x14ac:dyDescent="0.25">
      <c r="A969" t="str">
        <f>"1124081070"</f>
        <v>1124081070</v>
      </c>
      <c r="B969" t="str">
        <f>"01466393"</f>
        <v>01466393</v>
      </c>
      <c r="C969" t="s">
        <v>7251</v>
      </c>
      <c r="D969" t="s">
        <v>7252</v>
      </c>
      <c r="E969" t="s">
        <v>7253</v>
      </c>
      <c r="G969" t="s">
        <v>7251</v>
      </c>
      <c r="H969" t="s">
        <v>5786</v>
      </c>
      <c r="L969" t="s">
        <v>79</v>
      </c>
      <c r="M969" t="s">
        <v>81</v>
      </c>
      <c r="R969" t="s">
        <v>7254</v>
      </c>
      <c r="W969" t="s">
        <v>7253</v>
      </c>
      <c r="X969" t="s">
        <v>173</v>
      </c>
      <c r="Y969" t="s">
        <v>117</v>
      </c>
      <c r="Z969" t="s">
        <v>73</v>
      </c>
      <c r="AA969" t="str">
        <f>"14222-2099"</f>
        <v>14222-2099</v>
      </c>
      <c r="AB969" t="s">
        <v>105</v>
      </c>
      <c r="AC969" t="s">
        <v>75</v>
      </c>
      <c r="AD969" t="s">
        <v>72</v>
      </c>
      <c r="AE969" t="s">
        <v>76</v>
      </c>
      <c r="AF969" t="s">
        <v>3961</v>
      </c>
      <c r="AG969" t="s">
        <v>77</v>
      </c>
    </row>
    <row r="970" spans="1:33" x14ac:dyDescent="0.25">
      <c r="A970" t="str">
        <f>"1467725101"</f>
        <v>1467725101</v>
      </c>
      <c r="B970" t="str">
        <f>"02084839"</f>
        <v>02084839</v>
      </c>
      <c r="C970" t="s">
        <v>7255</v>
      </c>
      <c r="D970" t="s">
        <v>1060</v>
      </c>
      <c r="E970" t="s">
        <v>1061</v>
      </c>
      <c r="G970" t="s">
        <v>7256</v>
      </c>
      <c r="H970" t="s">
        <v>7257</v>
      </c>
      <c r="J970" t="s">
        <v>7258</v>
      </c>
      <c r="L970" t="s">
        <v>97</v>
      </c>
      <c r="M970" t="s">
        <v>81</v>
      </c>
      <c r="R970" t="s">
        <v>1059</v>
      </c>
      <c r="W970" t="s">
        <v>1061</v>
      </c>
      <c r="X970" t="s">
        <v>1062</v>
      </c>
      <c r="Y970" t="s">
        <v>228</v>
      </c>
      <c r="Z970" t="s">
        <v>73</v>
      </c>
      <c r="AA970" t="str">
        <f>"14226-2129"</f>
        <v>14226-2129</v>
      </c>
      <c r="AB970" t="s">
        <v>98</v>
      </c>
      <c r="AC970" t="s">
        <v>75</v>
      </c>
      <c r="AD970" t="s">
        <v>72</v>
      </c>
      <c r="AE970" t="s">
        <v>76</v>
      </c>
      <c r="AF970" t="s">
        <v>4078</v>
      </c>
      <c r="AG970" t="s">
        <v>77</v>
      </c>
    </row>
    <row r="971" spans="1:33" x14ac:dyDescent="0.25">
      <c r="A971" t="str">
        <f>"1306119078"</f>
        <v>1306119078</v>
      </c>
      <c r="B971" t="str">
        <f>"01243512"</f>
        <v>01243512</v>
      </c>
      <c r="C971" t="s">
        <v>7259</v>
      </c>
      <c r="D971" t="s">
        <v>2488</v>
      </c>
      <c r="E971" t="s">
        <v>2489</v>
      </c>
      <c r="G971" t="s">
        <v>7260</v>
      </c>
      <c r="H971" t="s">
        <v>1830</v>
      </c>
      <c r="J971" t="s">
        <v>7261</v>
      </c>
      <c r="L971" t="s">
        <v>97</v>
      </c>
      <c r="M971" t="s">
        <v>81</v>
      </c>
      <c r="R971" t="s">
        <v>2487</v>
      </c>
      <c r="W971" t="s">
        <v>2489</v>
      </c>
      <c r="X971" t="s">
        <v>1398</v>
      </c>
      <c r="Y971" t="s">
        <v>247</v>
      </c>
      <c r="Z971" t="s">
        <v>73</v>
      </c>
      <c r="AA971" t="str">
        <f>"14227-1528"</f>
        <v>14227-1528</v>
      </c>
      <c r="AB971" t="s">
        <v>98</v>
      </c>
      <c r="AC971" t="s">
        <v>75</v>
      </c>
      <c r="AD971" t="s">
        <v>72</v>
      </c>
      <c r="AE971" t="s">
        <v>76</v>
      </c>
      <c r="AF971" t="s">
        <v>4078</v>
      </c>
      <c r="AG971" t="s">
        <v>77</v>
      </c>
    </row>
    <row r="972" spans="1:33" x14ac:dyDescent="0.25">
      <c r="A972" t="str">
        <f>"1013280759"</f>
        <v>1013280759</v>
      </c>
      <c r="B972" t="str">
        <f>"01148136"</f>
        <v>01148136</v>
      </c>
      <c r="C972" t="s">
        <v>7262</v>
      </c>
      <c r="D972" t="s">
        <v>1918</v>
      </c>
      <c r="E972" t="s">
        <v>1919</v>
      </c>
      <c r="G972" t="s">
        <v>7263</v>
      </c>
      <c r="H972" t="s">
        <v>7264</v>
      </c>
      <c r="J972" t="s">
        <v>7265</v>
      </c>
      <c r="L972" t="s">
        <v>97</v>
      </c>
      <c r="M972" t="s">
        <v>81</v>
      </c>
      <c r="R972" t="s">
        <v>1917</v>
      </c>
      <c r="W972" t="s">
        <v>1919</v>
      </c>
      <c r="X972" t="s">
        <v>1162</v>
      </c>
      <c r="Y972" t="s">
        <v>1163</v>
      </c>
      <c r="Z972" t="s">
        <v>73</v>
      </c>
      <c r="AA972" t="str">
        <f>"14072-1251"</f>
        <v>14072-1251</v>
      </c>
      <c r="AB972" t="s">
        <v>98</v>
      </c>
      <c r="AC972" t="s">
        <v>75</v>
      </c>
      <c r="AD972" t="s">
        <v>72</v>
      </c>
      <c r="AE972" t="s">
        <v>76</v>
      </c>
      <c r="AF972" t="s">
        <v>4078</v>
      </c>
      <c r="AG972" t="s">
        <v>77</v>
      </c>
    </row>
    <row r="973" spans="1:33" x14ac:dyDescent="0.25">
      <c r="A973" t="str">
        <f>"1730166448"</f>
        <v>1730166448</v>
      </c>
      <c r="B973" t="str">
        <f>"01665021"</f>
        <v>01665021</v>
      </c>
      <c r="C973" t="s">
        <v>7266</v>
      </c>
      <c r="D973" t="s">
        <v>2940</v>
      </c>
      <c r="E973" t="s">
        <v>2941</v>
      </c>
      <c r="G973" t="s">
        <v>7267</v>
      </c>
      <c r="H973" t="s">
        <v>2942</v>
      </c>
      <c r="J973" t="s">
        <v>7268</v>
      </c>
      <c r="L973" t="s">
        <v>80</v>
      </c>
      <c r="M973" t="s">
        <v>72</v>
      </c>
      <c r="R973" t="s">
        <v>2943</v>
      </c>
      <c r="W973" t="s">
        <v>2941</v>
      </c>
      <c r="X973" t="s">
        <v>162</v>
      </c>
      <c r="Y973" t="s">
        <v>237</v>
      </c>
      <c r="Z973" t="s">
        <v>73</v>
      </c>
      <c r="AA973" t="str">
        <f>"14224-3352"</f>
        <v>14224-3352</v>
      </c>
      <c r="AB973" t="s">
        <v>74</v>
      </c>
      <c r="AC973" t="s">
        <v>75</v>
      </c>
      <c r="AD973" t="s">
        <v>72</v>
      </c>
      <c r="AE973" t="s">
        <v>76</v>
      </c>
      <c r="AF973" t="s">
        <v>3961</v>
      </c>
      <c r="AG973" t="s">
        <v>77</v>
      </c>
    </row>
    <row r="974" spans="1:33" x14ac:dyDescent="0.25">
      <c r="A974" t="str">
        <f>"1003880113"</f>
        <v>1003880113</v>
      </c>
      <c r="B974" t="str">
        <f>"01781593"</f>
        <v>01781593</v>
      </c>
      <c r="C974" t="s">
        <v>7269</v>
      </c>
      <c r="D974" t="s">
        <v>7270</v>
      </c>
      <c r="E974" t="s">
        <v>7271</v>
      </c>
      <c r="G974" t="s">
        <v>4811</v>
      </c>
      <c r="H974" t="s">
        <v>4812</v>
      </c>
      <c r="J974" t="s">
        <v>4813</v>
      </c>
      <c r="L974" t="s">
        <v>80</v>
      </c>
      <c r="M974" t="s">
        <v>72</v>
      </c>
      <c r="R974" t="s">
        <v>7272</v>
      </c>
      <c r="W974" t="s">
        <v>7271</v>
      </c>
      <c r="X974" t="s">
        <v>278</v>
      </c>
      <c r="Y974" t="s">
        <v>1093</v>
      </c>
      <c r="Z974" t="s">
        <v>73</v>
      </c>
      <c r="AA974" t="str">
        <f>"14052-2540"</f>
        <v>14052-2540</v>
      </c>
      <c r="AB974" t="s">
        <v>74</v>
      </c>
      <c r="AC974" t="s">
        <v>75</v>
      </c>
      <c r="AD974" t="s">
        <v>72</v>
      </c>
      <c r="AE974" t="s">
        <v>76</v>
      </c>
      <c r="AF974" t="s">
        <v>3961</v>
      </c>
      <c r="AG974" t="s">
        <v>77</v>
      </c>
    </row>
    <row r="975" spans="1:33" x14ac:dyDescent="0.25">
      <c r="A975" t="str">
        <f>"1922071521"</f>
        <v>1922071521</v>
      </c>
      <c r="B975" t="str">
        <f>"01827458"</f>
        <v>01827458</v>
      </c>
      <c r="C975" t="s">
        <v>7273</v>
      </c>
      <c r="D975" t="s">
        <v>7274</v>
      </c>
      <c r="E975" t="s">
        <v>7275</v>
      </c>
      <c r="G975" t="s">
        <v>7110</v>
      </c>
      <c r="H975" t="s">
        <v>1066</v>
      </c>
      <c r="J975" t="s">
        <v>7111</v>
      </c>
      <c r="L975" t="s">
        <v>80</v>
      </c>
      <c r="M975" t="s">
        <v>72</v>
      </c>
      <c r="R975" t="s">
        <v>7276</v>
      </c>
      <c r="W975" t="s">
        <v>7275</v>
      </c>
      <c r="X975" t="s">
        <v>7277</v>
      </c>
      <c r="Y975" t="s">
        <v>188</v>
      </c>
      <c r="Z975" t="s">
        <v>73</v>
      </c>
      <c r="AA975" t="str">
        <f>"14092-1705"</f>
        <v>14092-1705</v>
      </c>
      <c r="AB975" t="s">
        <v>74</v>
      </c>
      <c r="AC975" t="s">
        <v>75</v>
      </c>
      <c r="AD975" t="s">
        <v>72</v>
      </c>
      <c r="AE975" t="s">
        <v>76</v>
      </c>
      <c r="AF975" t="s">
        <v>3961</v>
      </c>
      <c r="AG975" t="s">
        <v>77</v>
      </c>
    </row>
    <row r="976" spans="1:33" x14ac:dyDescent="0.25">
      <c r="A976" t="str">
        <f>"1063466340"</f>
        <v>1063466340</v>
      </c>
      <c r="B976" t="str">
        <f>"00913891"</f>
        <v>00913891</v>
      </c>
      <c r="C976" t="s">
        <v>7278</v>
      </c>
      <c r="D976" t="s">
        <v>7279</v>
      </c>
      <c r="E976" t="s">
        <v>7280</v>
      </c>
      <c r="G976" t="s">
        <v>3969</v>
      </c>
      <c r="H976" t="s">
        <v>3970</v>
      </c>
      <c r="J976" t="s">
        <v>3971</v>
      </c>
      <c r="L976" t="s">
        <v>79</v>
      </c>
      <c r="M976" t="s">
        <v>72</v>
      </c>
      <c r="R976" t="s">
        <v>7281</v>
      </c>
      <c r="W976" t="s">
        <v>7281</v>
      </c>
      <c r="X976" t="s">
        <v>604</v>
      </c>
      <c r="Y976" t="s">
        <v>365</v>
      </c>
      <c r="Z976" t="s">
        <v>73</v>
      </c>
      <c r="AA976" t="str">
        <f>"14223-1432"</f>
        <v>14223-1432</v>
      </c>
      <c r="AB976" t="s">
        <v>74</v>
      </c>
      <c r="AC976" t="s">
        <v>75</v>
      </c>
      <c r="AD976" t="s">
        <v>72</v>
      </c>
      <c r="AE976" t="s">
        <v>76</v>
      </c>
      <c r="AF976" t="s">
        <v>3974</v>
      </c>
      <c r="AG976" t="s">
        <v>77</v>
      </c>
    </row>
    <row r="977" spans="1:33" x14ac:dyDescent="0.25">
      <c r="A977" t="str">
        <f>"1720071780"</f>
        <v>1720071780</v>
      </c>
      <c r="B977" t="str">
        <f>"02257743"</f>
        <v>02257743</v>
      </c>
      <c r="C977" t="s">
        <v>7282</v>
      </c>
      <c r="D977" t="s">
        <v>905</v>
      </c>
      <c r="E977" t="s">
        <v>906</v>
      </c>
      <c r="G977" t="s">
        <v>5151</v>
      </c>
      <c r="H977" t="s">
        <v>647</v>
      </c>
      <c r="J977" t="s">
        <v>5152</v>
      </c>
      <c r="L977" t="s">
        <v>79</v>
      </c>
      <c r="M977" t="s">
        <v>72</v>
      </c>
      <c r="R977" t="s">
        <v>907</v>
      </c>
      <c r="W977" t="s">
        <v>906</v>
      </c>
      <c r="X977" t="s">
        <v>908</v>
      </c>
      <c r="Y977" t="s">
        <v>630</v>
      </c>
      <c r="Z977" t="s">
        <v>73</v>
      </c>
      <c r="AA977" t="str">
        <f>"14043-4783"</f>
        <v>14043-4783</v>
      </c>
      <c r="AB977" t="s">
        <v>74</v>
      </c>
      <c r="AC977" t="s">
        <v>75</v>
      </c>
      <c r="AD977" t="s">
        <v>72</v>
      </c>
      <c r="AE977" t="s">
        <v>76</v>
      </c>
      <c r="AF977" t="s">
        <v>3974</v>
      </c>
      <c r="AG977" t="s">
        <v>77</v>
      </c>
    </row>
    <row r="978" spans="1:33" x14ac:dyDescent="0.25">
      <c r="A978" t="str">
        <f>"1891755708"</f>
        <v>1891755708</v>
      </c>
      <c r="B978" t="str">
        <f>"01382636"</f>
        <v>01382636</v>
      </c>
      <c r="C978" t="s">
        <v>7283</v>
      </c>
      <c r="D978" t="s">
        <v>2419</v>
      </c>
      <c r="E978" t="s">
        <v>2420</v>
      </c>
      <c r="G978" t="s">
        <v>7284</v>
      </c>
      <c r="H978" t="s">
        <v>2421</v>
      </c>
      <c r="J978" t="s">
        <v>7285</v>
      </c>
      <c r="L978" t="s">
        <v>71</v>
      </c>
      <c r="M978" t="s">
        <v>72</v>
      </c>
      <c r="R978" t="s">
        <v>2422</v>
      </c>
      <c r="W978" t="s">
        <v>2420</v>
      </c>
      <c r="X978" t="s">
        <v>2423</v>
      </c>
      <c r="Y978" t="s">
        <v>228</v>
      </c>
      <c r="Z978" t="s">
        <v>73</v>
      </c>
      <c r="AA978" t="str">
        <f>"14226-2500"</f>
        <v>14226-2500</v>
      </c>
      <c r="AB978" t="s">
        <v>74</v>
      </c>
      <c r="AC978" t="s">
        <v>75</v>
      </c>
      <c r="AD978" t="s">
        <v>72</v>
      </c>
      <c r="AE978" t="s">
        <v>76</v>
      </c>
      <c r="AF978" t="s">
        <v>3974</v>
      </c>
      <c r="AG978" t="s">
        <v>77</v>
      </c>
    </row>
    <row r="979" spans="1:33" x14ac:dyDescent="0.25">
      <c r="A979" t="str">
        <f>"1841276763"</f>
        <v>1841276763</v>
      </c>
      <c r="B979" t="str">
        <f>"01339624"</f>
        <v>01339624</v>
      </c>
      <c r="C979" t="s">
        <v>7286</v>
      </c>
      <c r="D979" t="s">
        <v>3562</v>
      </c>
      <c r="E979" t="s">
        <v>3563</v>
      </c>
      <c r="G979" t="s">
        <v>4014</v>
      </c>
      <c r="H979" t="s">
        <v>750</v>
      </c>
      <c r="J979" t="s">
        <v>4015</v>
      </c>
      <c r="L979" t="s">
        <v>79</v>
      </c>
      <c r="M979" t="s">
        <v>72</v>
      </c>
      <c r="R979" t="s">
        <v>3564</v>
      </c>
      <c r="W979" t="s">
        <v>3563</v>
      </c>
      <c r="X979" t="s">
        <v>243</v>
      </c>
      <c r="Y979" t="s">
        <v>117</v>
      </c>
      <c r="Z979" t="s">
        <v>73</v>
      </c>
      <c r="AA979" t="str">
        <f>"14203-1126"</f>
        <v>14203-1126</v>
      </c>
      <c r="AB979" t="s">
        <v>74</v>
      </c>
      <c r="AC979" t="s">
        <v>75</v>
      </c>
      <c r="AD979" t="s">
        <v>72</v>
      </c>
      <c r="AE979" t="s">
        <v>76</v>
      </c>
      <c r="AF979" t="s">
        <v>3974</v>
      </c>
      <c r="AG979" t="s">
        <v>77</v>
      </c>
    </row>
    <row r="980" spans="1:33" x14ac:dyDescent="0.25">
      <c r="A980" t="str">
        <f>"1659396380"</f>
        <v>1659396380</v>
      </c>
      <c r="B980" t="str">
        <f>"02878811"</f>
        <v>02878811</v>
      </c>
      <c r="C980" t="s">
        <v>7287</v>
      </c>
      <c r="D980" t="s">
        <v>7288</v>
      </c>
      <c r="E980" t="s">
        <v>7289</v>
      </c>
      <c r="G980" t="s">
        <v>4768</v>
      </c>
      <c r="H980" t="s">
        <v>4769</v>
      </c>
      <c r="J980" t="s">
        <v>4770</v>
      </c>
      <c r="L980" t="s">
        <v>35</v>
      </c>
      <c r="M980" t="s">
        <v>72</v>
      </c>
      <c r="R980" t="s">
        <v>7290</v>
      </c>
      <c r="W980" t="s">
        <v>7291</v>
      </c>
      <c r="X980" t="s">
        <v>301</v>
      </c>
      <c r="Y980" t="s">
        <v>117</v>
      </c>
      <c r="Z980" t="s">
        <v>73</v>
      </c>
      <c r="AA980" t="str">
        <f>"14214-2648"</f>
        <v>14214-2648</v>
      </c>
      <c r="AB980" t="s">
        <v>119</v>
      </c>
      <c r="AC980" t="s">
        <v>75</v>
      </c>
      <c r="AD980" t="s">
        <v>72</v>
      </c>
      <c r="AE980" t="s">
        <v>76</v>
      </c>
      <c r="AF980" t="s">
        <v>3986</v>
      </c>
      <c r="AG980" t="s">
        <v>77</v>
      </c>
    </row>
    <row r="981" spans="1:33" x14ac:dyDescent="0.25">
      <c r="A981" t="str">
        <f>"1053319756"</f>
        <v>1053319756</v>
      </c>
      <c r="B981" t="str">
        <f>"00354563"</f>
        <v>00354563</v>
      </c>
      <c r="C981" t="s">
        <v>7292</v>
      </c>
      <c r="D981" t="s">
        <v>7293</v>
      </c>
      <c r="E981" t="s">
        <v>7294</v>
      </c>
      <c r="G981" t="s">
        <v>4768</v>
      </c>
      <c r="H981" t="s">
        <v>4769</v>
      </c>
      <c r="J981" t="s">
        <v>4770</v>
      </c>
      <c r="L981" t="s">
        <v>216</v>
      </c>
      <c r="M981" t="s">
        <v>81</v>
      </c>
      <c r="R981" t="s">
        <v>7295</v>
      </c>
      <c r="W981" t="s">
        <v>7294</v>
      </c>
      <c r="X981" t="s">
        <v>301</v>
      </c>
      <c r="Y981" t="s">
        <v>117</v>
      </c>
      <c r="Z981" t="s">
        <v>73</v>
      </c>
      <c r="AA981" t="str">
        <f>"14214-2648"</f>
        <v>14214-2648</v>
      </c>
      <c r="AB981" t="s">
        <v>86</v>
      </c>
      <c r="AC981" t="s">
        <v>75</v>
      </c>
      <c r="AD981" t="s">
        <v>72</v>
      </c>
      <c r="AE981" t="s">
        <v>76</v>
      </c>
      <c r="AF981" t="s">
        <v>4078</v>
      </c>
      <c r="AG981" t="s">
        <v>77</v>
      </c>
    </row>
    <row r="982" spans="1:33" x14ac:dyDescent="0.25">
      <c r="A982" t="str">
        <f>"1043455199"</f>
        <v>1043455199</v>
      </c>
      <c r="B982" t="str">
        <f>"03075789"</f>
        <v>03075789</v>
      </c>
      <c r="C982" t="s">
        <v>7296</v>
      </c>
      <c r="D982" t="s">
        <v>7293</v>
      </c>
      <c r="E982" t="s">
        <v>7294</v>
      </c>
      <c r="G982" t="s">
        <v>4768</v>
      </c>
      <c r="H982" t="s">
        <v>4769</v>
      </c>
      <c r="J982" t="s">
        <v>4770</v>
      </c>
      <c r="L982" t="s">
        <v>216</v>
      </c>
      <c r="M982" t="s">
        <v>81</v>
      </c>
      <c r="R982" t="s">
        <v>7297</v>
      </c>
      <c r="W982" t="s">
        <v>7296</v>
      </c>
      <c r="X982" t="s">
        <v>246</v>
      </c>
      <c r="Y982" t="s">
        <v>247</v>
      </c>
      <c r="Z982" t="s">
        <v>73</v>
      </c>
      <c r="AA982" t="str">
        <f>"14225-4018"</f>
        <v>14225-4018</v>
      </c>
      <c r="AB982" t="s">
        <v>86</v>
      </c>
      <c r="AC982" t="s">
        <v>75</v>
      </c>
      <c r="AD982" t="s">
        <v>72</v>
      </c>
      <c r="AE982" t="s">
        <v>76</v>
      </c>
      <c r="AF982" t="s">
        <v>3986</v>
      </c>
      <c r="AG982" t="s">
        <v>77</v>
      </c>
    </row>
    <row r="983" spans="1:33" x14ac:dyDescent="0.25">
      <c r="A983" t="str">
        <f>"1790727543"</f>
        <v>1790727543</v>
      </c>
      <c r="B983" t="str">
        <f>"03001705"</f>
        <v>03001705</v>
      </c>
      <c r="C983" t="s">
        <v>7298</v>
      </c>
      <c r="D983" t="s">
        <v>7293</v>
      </c>
      <c r="E983" t="s">
        <v>7294</v>
      </c>
      <c r="G983" t="s">
        <v>4768</v>
      </c>
      <c r="H983" t="s">
        <v>4769</v>
      </c>
      <c r="J983" t="s">
        <v>4770</v>
      </c>
      <c r="L983" t="s">
        <v>216</v>
      </c>
      <c r="M983" t="s">
        <v>81</v>
      </c>
      <c r="R983" t="s">
        <v>7295</v>
      </c>
      <c r="W983" t="s">
        <v>7297</v>
      </c>
      <c r="X983" t="s">
        <v>301</v>
      </c>
      <c r="Y983" t="s">
        <v>117</v>
      </c>
      <c r="Z983" t="s">
        <v>73</v>
      </c>
      <c r="AA983" t="str">
        <f>"14214-2648"</f>
        <v>14214-2648</v>
      </c>
      <c r="AB983" t="s">
        <v>83</v>
      </c>
      <c r="AC983" t="s">
        <v>130</v>
      </c>
      <c r="AD983" t="s">
        <v>72</v>
      </c>
      <c r="AE983" t="s">
        <v>76</v>
      </c>
      <c r="AF983" t="s">
        <v>3986</v>
      </c>
      <c r="AG983" t="s">
        <v>77</v>
      </c>
    </row>
    <row r="984" spans="1:33" x14ac:dyDescent="0.25">
      <c r="A984" t="str">
        <f>"1104060375"</f>
        <v>1104060375</v>
      </c>
      <c r="B984" t="str">
        <f>"03613985"</f>
        <v>03613985</v>
      </c>
      <c r="C984" t="s">
        <v>7299</v>
      </c>
      <c r="D984" t="s">
        <v>7300</v>
      </c>
      <c r="E984" t="s">
        <v>7301</v>
      </c>
      <c r="G984" t="s">
        <v>4883</v>
      </c>
      <c r="H984" t="s">
        <v>3216</v>
      </c>
      <c r="J984" t="s">
        <v>4884</v>
      </c>
      <c r="L984" t="s">
        <v>79</v>
      </c>
      <c r="M984" t="s">
        <v>72</v>
      </c>
      <c r="R984" t="s">
        <v>7302</v>
      </c>
      <c r="W984" t="s">
        <v>7301</v>
      </c>
      <c r="X984" t="s">
        <v>187</v>
      </c>
      <c r="Y984" t="s">
        <v>188</v>
      </c>
      <c r="Z984" t="s">
        <v>73</v>
      </c>
      <c r="AA984" t="str">
        <f>"14092-1903"</f>
        <v>14092-1903</v>
      </c>
      <c r="AB984" t="s">
        <v>74</v>
      </c>
      <c r="AC984" t="s">
        <v>75</v>
      </c>
      <c r="AD984" t="s">
        <v>72</v>
      </c>
      <c r="AE984" t="s">
        <v>76</v>
      </c>
      <c r="AF984" t="s">
        <v>3974</v>
      </c>
      <c r="AG984" t="s">
        <v>77</v>
      </c>
    </row>
    <row r="985" spans="1:33" x14ac:dyDescent="0.25">
      <c r="A985" t="str">
        <f>"1336246040"</f>
        <v>1336246040</v>
      </c>
      <c r="C985" t="s">
        <v>7303</v>
      </c>
      <c r="G985" t="s">
        <v>7304</v>
      </c>
      <c r="H985" t="s">
        <v>7305</v>
      </c>
      <c r="J985" t="s">
        <v>7306</v>
      </c>
      <c r="K985" t="s">
        <v>89</v>
      </c>
      <c r="L985" t="s">
        <v>92</v>
      </c>
      <c r="M985" t="s">
        <v>72</v>
      </c>
      <c r="R985" t="s">
        <v>1267</v>
      </c>
      <c r="S985" t="s">
        <v>1268</v>
      </c>
      <c r="T985" t="s">
        <v>365</v>
      </c>
      <c r="U985" t="s">
        <v>73</v>
      </c>
      <c r="V985" t="str">
        <f>"141509463"</f>
        <v>141509463</v>
      </c>
      <c r="AC985" t="s">
        <v>75</v>
      </c>
      <c r="AD985" t="s">
        <v>72</v>
      </c>
      <c r="AE985" t="s">
        <v>93</v>
      </c>
      <c r="AF985" t="s">
        <v>4078</v>
      </c>
      <c r="AG985" t="s">
        <v>77</v>
      </c>
    </row>
    <row r="986" spans="1:33" x14ac:dyDescent="0.25">
      <c r="A986" t="str">
        <f>"1871889915"</f>
        <v>1871889915</v>
      </c>
      <c r="B986" t="str">
        <f>"02971126"</f>
        <v>02971126</v>
      </c>
      <c r="C986" t="s">
        <v>7307</v>
      </c>
      <c r="D986" t="s">
        <v>7308</v>
      </c>
      <c r="E986" t="s">
        <v>7309</v>
      </c>
      <c r="G986" t="s">
        <v>7310</v>
      </c>
      <c r="H986" t="s">
        <v>7311</v>
      </c>
      <c r="J986" t="s">
        <v>7312</v>
      </c>
      <c r="L986" t="s">
        <v>33</v>
      </c>
      <c r="M986" t="s">
        <v>81</v>
      </c>
      <c r="R986" t="s">
        <v>7313</v>
      </c>
      <c r="W986" t="s">
        <v>7309</v>
      </c>
      <c r="X986" t="s">
        <v>7314</v>
      </c>
      <c r="Y986" t="s">
        <v>217</v>
      </c>
      <c r="Z986" t="s">
        <v>73</v>
      </c>
      <c r="AA986" t="str">
        <f>"14760-2544"</f>
        <v>14760-2544</v>
      </c>
      <c r="AB986" t="s">
        <v>88</v>
      </c>
      <c r="AC986" t="s">
        <v>75</v>
      </c>
      <c r="AD986" t="s">
        <v>72</v>
      </c>
      <c r="AE986" t="s">
        <v>76</v>
      </c>
      <c r="AF986" t="s">
        <v>4059</v>
      </c>
      <c r="AG986" t="s">
        <v>77</v>
      </c>
    </row>
    <row r="987" spans="1:33" x14ac:dyDescent="0.25">
      <c r="A987" t="str">
        <f>"1477807907"</f>
        <v>1477807907</v>
      </c>
      <c r="C987" t="s">
        <v>7315</v>
      </c>
      <c r="G987" t="s">
        <v>7316</v>
      </c>
      <c r="H987" t="s">
        <v>405</v>
      </c>
      <c r="J987" t="s">
        <v>7317</v>
      </c>
      <c r="K987" t="s">
        <v>89</v>
      </c>
      <c r="L987" t="s">
        <v>92</v>
      </c>
      <c r="M987" t="s">
        <v>72</v>
      </c>
      <c r="R987" t="s">
        <v>7318</v>
      </c>
      <c r="S987" t="s">
        <v>7319</v>
      </c>
      <c r="T987" t="s">
        <v>277</v>
      </c>
      <c r="U987" t="s">
        <v>151</v>
      </c>
      <c r="V987" t="str">
        <f>"402225158"</f>
        <v>402225158</v>
      </c>
      <c r="AC987" t="s">
        <v>75</v>
      </c>
      <c r="AD987" t="s">
        <v>72</v>
      </c>
      <c r="AE987" t="s">
        <v>93</v>
      </c>
      <c r="AF987" t="s">
        <v>4078</v>
      </c>
      <c r="AG987" t="s">
        <v>77</v>
      </c>
    </row>
    <row r="988" spans="1:33" x14ac:dyDescent="0.25">
      <c r="A988" t="str">
        <f>"1083618672"</f>
        <v>1083618672</v>
      </c>
      <c r="B988" t="str">
        <f>"01183233"</f>
        <v>01183233</v>
      </c>
      <c r="C988" t="s">
        <v>7320</v>
      </c>
      <c r="D988" t="s">
        <v>223</v>
      </c>
      <c r="E988" t="s">
        <v>224</v>
      </c>
      <c r="G988" t="s">
        <v>7321</v>
      </c>
      <c r="H988" t="s">
        <v>225</v>
      </c>
      <c r="J988" t="s">
        <v>236</v>
      </c>
      <c r="L988" t="s">
        <v>107</v>
      </c>
      <c r="M988" t="s">
        <v>81</v>
      </c>
      <c r="R988" t="s">
        <v>226</v>
      </c>
      <c r="W988" t="s">
        <v>224</v>
      </c>
      <c r="X988" t="s">
        <v>227</v>
      </c>
      <c r="Y988" t="s">
        <v>228</v>
      </c>
      <c r="Z988" t="s">
        <v>73</v>
      </c>
      <c r="AA988" t="str">
        <f>"14226-1900"</f>
        <v>14226-1900</v>
      </c>
      <c r="AB988" t="s">
        <v>109</v>
      </c>
      <c r="AC988" t="s">
        <v>75</v>
      </c>
      <c r="AD988" t="s">
        <v>72</v>
      </c>
      <c r="AE988" t="s">
        <v>76</v>
      </c>
      <c r="AF988" t="s">
        <v>4059</v>
      </c>
      <c r="AG988" t="s">
        <v>77</v>
      </c>
    </row>
    <row r="989" spans="1:33" x14ac:dyDescent="0.25">
      <c r="A989" t="str">
        <f>"1437214830"</f>
        <v>1437214830</v>
      </c>
      <c r="B989" t="str">
        <f>"03006291"</f>
        <v>03006291</v>
      </c>
      <c r="C989" t="s">
        <v>5091</v>
      </c>
      <c r="D989" t="s">
        <v>269</v>
      </c>
      <c r="E989" t="s">
        <v>268</v>
      </c>
      <c r="F989">
        <v>131623856</v>
      </c>
      <c r="G989" t="s">
        <v>5094</v>
      </c>
      <c r="H989" t="s">
        <v>5095</v>
      </c>
      <c r="J989" t="s">
        <v>7322</v>
      </c>
      <c r="L989" t="s">
        <v>106</v>
      </c>
      <c r="M989" t="s">
        <v>81</v>
      </c>
      <c r="R989" t="s">
        <v>1490</v>
      </c>
      <c r="W989" t="s">
        <v>268</v>
      </c>
      <c r="X989" t="s">
        <v>270</v>
      </c>
      <c r="Y989" t="s">
        <v>128</v>
      </c>
      <c r="Z989" t="s">
        <v>73</v>
      </c>
      <c r="AA989" t="str">
        <f>"10303-1506"</f>
        <v>10303-1506</v>
      </c>
      <c r="AB989" t="s">
        <v>109</v>
      </c>
      <c r="AC989" t="s">
        <v>75</v>
      </c>
      <c r="AD989" t="s">
        <v>72</v>
      </c>
      <c r="AE989" t="s">
        <v>76</v>
      </c>
      <c r="AF989" t="s">
        <v>4059</v>
      </c>
      <c r="AG989" t="s">
        <v>77</v>
      </c>
    </row>
    <row r="990" spans="1:33" x14ac:dyDescent="0.25">
      <c r="C990" t="s">
        <v>7323</v>
      </c>
      <c r="G990" t="s">
        <v>7324</v>
      </c>
      <c r="H990" t="s">
        <v>651</v>
      </c>
      <c r="J990" t="s">
        <v>7325</v>
      </c>
      <c r="K990" t="s">
        <v>89</v>
      </c>
      <c r="L990" t="s">
        <v>90</v>
      </c>
      <c r="M990" t="s">
        <v>72</v>
      </c>
      <c r="N990" t="s">
        <v>7326</v>
      </c>
      <c r="O990" t="s">
        <v>1101</v>
      </c>
      <c r="P990" t="s">
        <v>73</v>
      </c>
      <c r="Q990" t="str">
        <f>"14215"</f>
        <v>14215</v>
      </c>
      <c r="AC990" t="s">
        <v>75</v>
      </c>
      <c r="AD990" t="s">
        <v>72</v>
      </c>
      <c r="AE990" t="s">
        <v>91</v>
      </c>
      <c r="AF990" t="s">
        <v>4078</v>
      </c>
      <c r="AG990" t="s">
        <v>77</v>
      </c>
    </row>
    <row r="991" spans="1:33" x14ac:dyDescent="0.25">
      <c r="B991" t="str">
        <f>"02704589"</f>
        <v>02704589</v>
      </c>
      <c r="C991" t="s">
        <v>7327</v>
      </c>
      <c r="D991" t="s">
        <v>7328</v>
      </c>
      <c r="E991" t="s">
        <v>7329</v>
      </c>
      <c r="F991">
        <v>161182855</v>
      </c>
      <c r="G991" t="s">
        <v>7330</v>
      </c>
      <c r="H991" t="s">
        <v>7331</v>
      </c>
      <c r="J991" t="s">
        <v>7332</v>
      </c>
      <c r="L991" t="s">
        <v>35</v>
      </c>
      <c r="M991" t="s">
        <v>81</v>
      </c>
      <c r="W991" t="s">
        <v>7329</v>
      </c>
      <c r="X991" t="s">
        <v>103</v>
      </c>
      <c r="Y991" t="s">
        <v>242</v>
      </c>
      <c r="Z991" t="s">
        <v>73</v>
      </c>
      <c r="AA991" t="str">
        <f>"14701-5550"</f>
        <v>14701-5550</v>
      </c>
      <c r="AB991" t="s">
        <v>88</v>
      </c>
      <c r="AC991" t="s">
        <v>75</v>
      </c>
      <c r="AD991" t="s">
        <v>72</v>
      </c>
      <c r="AE991" t="s">
        <v>76</v>
      </c>
      <c r="AF991" t="s">
        <v>4059</v>
      </c>
      <c r="AG991" t="s">
        <v>77</v>
      </c>
    </row>
    <row r="992" spans="1:33" x14ac:dyDescent="0.25">
      <c r="C992" t="s">
        <v>7333</v>
      </c>
      <c r="G992" t="s">
        <v>7334</v>
      </c>
      <c r="H992" t="s">
        <v>7335</v>
      </c>
      <c r="J992" t="s">
        <v>7336</v>
      </c>
      <c r="K992" t="s">
        <v>89</v>
      </c>
      <c r="L992" t="s">
        <v>90</v>
      </c>
      <c r="M992" t="s">
        <v>72</v>
      </c>
      <c r="N992" t="s">
        <v>7337</v>
      </c>
      <c r="O992" t="s">
        <v>3472</v>
      </c>
      <c r="P992" t="s">
        <v>73</v>
      </c>
      <c r="Q992" t="str">
        <f>"14226"</f>
        <v>14226</v>
      </c>
      <c r="AC992" t="s">
        <v>75</v>
      </c>
      <c r="AD992" t="s">
        <v>72</v>
      </c>
      <c r="AE992" t="s">
        <v>91</v>
      </c>
      <c r="AF992" t="s">
        <v>4059</v>
      </c>
      <c r="AG992" t="s">
        <v>77</v>
      </c>
    </row>
    <row r="993" spans="1:33" x14ac:dyDescent="0.25">
      <c r="C993" t="s">
        <v>7338</v>
      </c>
      <c r="G993" t="s">
        <v>3598</v>
      </c>
      <c r="J993" t="s">
        <v>3600</v>
      </c>
      <c r="K993" t="s">
        <v>89</v>
      </c>
      <c r="L993" t="s">
        <v>90</v>
      </c>
      <c r="M993" t="s">
        <v>72</v>
      </c>
      <c r="AC993" t="s">
        <v>75</v>
      </c>
      <c r="AD993" t="s">
        <v>72</v>
      </c>
      <c r="AE993" t="s">
        <v>91</v>
      </c>
      <c r="AF993" t="s">
        <v>4078</v>
      </c>
      <c r="AG993" t="s">
        <v>77</v>
      </c>
    </row>
    <row r="994" spans="1:33" x14ac:dyDescent="0.25">
      <c r="A994" t="str">
        <f>"1184695058"</f>
        <v>1184695058</v>
      </c>
      <c r="B994" t="str">
        <f>"01775608"</f>
        <v>01775608</v>
      </c>
      <c r="C994" t="s">
        <v>7339</v>
      </c>
      <c r="D994" t="s">
        <v>3275</v>
      </c>
      <c r="E994" t="s">
        <v>3276</v>
      </c>
      <c r="G994" t="s">
        <v>3991</v>
      </c>
      <c r="H994" t="s">
        <v>1104</v>
      </c>
      <c r="J994" t="s">
        <v>3992</v>
      </c>
      <c r="L994" t="s">
        <v>79</v>
      </c>
      <c r="M994" t="s">
        <v>72</v>
      </c>
      <c r="R994" t="s">
        <v>3277</v>
      </c>
      <c r="W994" t="s">
        <v>3276</v>
      </c>
      <c r="X994" t="s">
        <v>3278</v>
      </c>
      <c r="Y994" t="s">
        <v>221</v>
      </c>
      <c r="Z994" t="s">
        <v>73</v>
      </c>
      <c r="AA994" t="str">
        <f>"14221-3730"</f>
        <v>14221-3730</v>
      </c>
      <c r="AB994" t="s">
        <v>74</v>
      </c>
      <c r="AC994" t="s">
        <v>75</v>
      </c>
      <c r="AD994" t="s">
        <v>72</v>
      </c>
      <c r="AE994" t="s">
        <v>76</v>
      </c>
      <c r="AF994" t="s">
        <v>3974</v>
      </c>
      <c r="AG994" t="s">
        <v>77</v>
      </c>
    </row>
    <row r="995" spans="1:33" x14ac:dyDescent="0.25">
      <c r="A995" t="str">
        <f>"1043251903"</f>
        <v>1043251903</v>
      </c>
      <c r="B995" t="str">
        <f>"00591662"</f>
        <v>00591662</v>
      </c>
      <c r="C995" t="s">
        <v>7340</v>
      </c>
      <c r="D995" t="s">
        <v>7341</v>
      </c>
      <c r="E995" t="s">
        <v>7342</v>
      </c>
      <c r="G995" t="s">
        <v>3988</v>
      </c>
      <c r="H995" t="s">
        <v>5317</v>
      </c>
      <c r="J995" t="s">
        <v>3989</v>
      </c>
      <c r="L995" t="s">
        <v>71</v>
      </c>
      <c r="M995" t="s">
        <v>72</v>
      </c>
      <c r="R995" t="s">
        <v>7343</v>
      </c>
      <c r="W995" t="s">
        <v>7342</v>
      </c>
      <c r="Y995" t="s">
        <v>117</v>
      </c>
      <c r="Z995" t="s">
        <v>73</v>
      </c>
      <c r="AA995" t="str">
        <f>"14218-1658"</f>
        <v>14218-1658</v>
      </c>
      <c r="AB995" t="s">
        <v>74</v>
      </c>
      <c r="AC995" t="s">
        <v>75</v>
      </c>
      <c r="AD995" t="s">
        <v>72</v>
      </c>
      <c r="AE995" t="s">
        <v>76</v>
      </c>
      <c r="AF995" t="s">
        <v>3974</v>
      </c>
      <c r="AG995" t="s">
        <v>77</v>
      </c>
    </row>
    <row r="996" spans="1:33" x14ac:dyDescent="0.25">
      <c r="A996" t="str">
        <f>"1912071044"</f>
        <v>1912071044</v>
      </c>
      <c r="C996" t="s">
        <v>511</v>
      </c>
      <c r="G996" t="s">
        <v>429</v>
      </c>
      <c r="H996" t="s">
        <v>430</v>
      </c>
      <c r="J996" t="s">
        <v>431</v>
      </c>
      <c r="K996" t="s">
        <v>89</v>
      </c>
      <c r="L996" t="s">
        <v>92</v>
      </c>
      <c r="M996" t="s">
        <v>72</v>
      </c>
      <c r="R996" t="s">
        <v>512</v>
      </c>
      <c r="S996" t="s">
        <v>513</v>
      </c>
      <c r="T996" t="s">
        <v>111</v>
      </c>
      <c r="U996" t="s">
        <v>73</v>
      </c>
      <c r="V996" t="str">
        <f>"146241535"</f>
        <v>146241535</v>
      </c>
      <c r="AC996" t="s">
        <v>75</v>
      </c>
      <c r="AD996" t="s">
        <v>72</v>
      </c>
      <c r="AE996" t="s">
        <v>93</v>
      </c>
      <c r="AF996" t="s">
        <v>4078</v>
      </c>
      <c r="AG996" t="s">
        <v>77</v>
      </c>
    </row>
    <row r="997" spans="1:33" x14ac:dyDescent="0.25">
      <c r="A997" t="str">
        <f>"1689745275"</f>
        <v>1689745275</v>
      </c>
      <c r="C997" t="s">
        <v>514</v>
      </c>
      <c r="G997" t="s">
        <v>429</v>
      </c>
      <c r="H997" t="s">
        <v>430</v>
      </c>
      <c r="J997" t="s">
        <v>431</v>
      </c>
      <c r="K997" t="s">
        <v>89</v>
      </c>
      <c r="L997" t="s">
        <v>92</v>
      </c>
      <c r="M997" t="s">
        <v>72</v>
      </c>
      <c r="R997" t="s">
        <v>515</v>
      </c>
      <c r="S997" t="s">
        <v>513</v>
      </c>
      <c r="T997" t="s">
        <v>111</v>
      </c>
      <c r="U997" t="s">
        <v>73</v>
      </c>
      <c r="V997" t="str">
        <f>"146241535"</f>
        <v>146241535</v>
      </c>
      <c r="AC997" t="s">
        <v>75</v>
      </c>
      <c r="AD997" t="s">
        <v>72</v>
      </c>
      <c r="AE997" t="s">
        <v>93</v>
      </c>
      <c r="AF997" t="s">
        <v>4078</v>
      </c>
      <c r="AG997" t="s">
        <v>77</v>
      </c>
    </row>
    <row r="998" spans="1:33" x14ac:dyDescent="0.25">
      <c r="A998" t="str">
        <f>"1942374368"</f>
        <v>1942374368</v>
      </c>
      <c r="B998" t="str">
        <f>"02189628"</f>
        <v>02189628</v>
      </c>
      <c r="C998" t="s">
        <v>516</v>
      </c>
      <c r="D998" t="s">
        <v>517</v>
      </c>
      <c r="E998" t="s">
        <v>518</v>
      </c>
      <c r="G998" t="s">
        <v>429</v>
      </c>
      <c r="H998" t="s">
        <v>430</v>
      </c>
      <c r="J998" t="s">
        <v>431</v>
      </c>
      <c r="L998" t="s">
        <v>33</v>
      </c>
      <c r="M998" t="s">
        <v>81</v>
      </c>
      <c r="R998" t="s">
        <v>519</v>
      </c>
      <c r="W998" t="s">
        <v>518</v>
      </c>
      <c r="X998" t="s">
        <v>309</v>
      </c>
      <c r="Y998" t="s">
        <v>111</v>
      </c>
      <c r="Z998" t="s">
        <v>73</v>
      </c>
      <c r="AA998" t="str">
        <f>"14620-4629"</f>
        <v>14620-4629</v>
      </c>
      <c r="AB998" t="s">
        <v>88</v>
      </c>
      <c r="AC998" t="s">
        <v>75</v>
      </c>
      <c r="AD998" t="s">
        <v>72</v>
      </c>
      <c r="AE998" t="s">
        <v>76</v>
      </c>
      <c r="AF998" t="s">
        <v>4879</v>
      </c>
      <c r="AG998" t="s">
        <v>77</v>
      </c>
    </row>
    <row r="999" spans="1:33" x14ac:dyDescent="0.25">
      <c r="A999" t="str">
        <f>"1184886004"</f>
        <v>1184886004</v>
      </c>
      <c r="B999" t="str">
        <f>"02597102"</f>
        <v>02597102</v>
      </c>
      <c r="C999" t="s">
        <v>7344</v>
      </c>
      <c r="D999" t="s">
        <v>2281</v>
      </c>
      <c r="E999" t="s">
        <v>2282</v>
      </c>
      <c r="G999" t="s">
        <v>3952</v>
      </c>
      <c r="H999" t="s">
        <v>3953</v>
      </c>
      <c r="J999" t="s">
        <v>3954</v>
      </c>
      <c r="L999" t="s">
        <v>71</v>
      </c>
      <c r="M999" t="s">
        <v>72</v>
      </c>
      <c r="R999" t="s">
        <v>2283</v>
      </c>
      <c r="W999" t="s">
        <v>2282</v>
      </c>
      <c r="X999" t="s">
        <v>1345</v>
      </c>
      <c r="Y999" t="s">
        <v>111</v>
      </c>
      <c r="Z999" t="s">
        <v>73</v>
      </c>
      <c r="AA999" t="str">
        <f>"14621-3001"</f>
        <v>14621-3001</v>
      </c>
      <c r="AB999" t="s">
        <v>74</v>
      </c>
      <c r="AC999" t="s">
        <v>75</v>
      </c>
      <c r="AD999" t="s">
        <v>72</v>
      </c>
      <c r="AE999" t="s">
        <v>76</v>
      </c>
      <c r="AG999" t="s">
        <v>77</v>
      </c>
    </row>
    <row r="1000" spans="1:33" x14ac:dyDescent="0.25">
      <c r="A1000" t="str">
        <f>"1861654980"</f>
        <v>1861654980</v>
      </c>
      <c r="B1000" t="str">
        <f>"03140434"</f>
        <v>03140434</v>
      </c>
      <c r="C1000" t="s">
        <v>7345</v>
      </c>
      <c r="D1000" t="s">
        <v>7346</v>
      </c>
      <c r="E1000" t="s">
        <v>7347</v>
      </c>
      <c r="G1000" t="s">
        <v>7348</v>
      </c>
      <c r="H1000" t="s">
        <v>7349</v>
      </c>
      <c r="J1000" t="s">
        <v>7350</v>
      </c>
      <c r="L1000" t="s">
        <v>71</v>
      </c>
      <c r="M1000" t="s">
        <v>72</v>
      </c>
      <c r="R1000" t="s">
        <v>7351</v>
      </c>
      <c r="W1000" t="s">
        <v>7347</v>
      </c>
      <c r="X1000" t="s">
        <v>258</v>
      </c>
      <c r="Y1000" t="s">
        <v>240</v>
      </c>
      <c r="Z1000" t="s">
        <v>73</v>
      </c>
      <c r="AA1000" t="str">
        <f>"14094-3201"</f>
        <v>14094-3201</v>
      </c>
      <c r="AB1000" t="s">
        <v>74</v>
      </c>
      <c r="AC1000" t="s">
        <v>75</v>
      </c>
      <c r="AD1000" t="s">
        <v>72</v>
      </c>
      <c r="AE1000" t="s">
        <v>76</v>
      </c>
      <c r="AF1000" t="s">
        <v>3974</v>
      </c>
      <c r="AG1000" t="s">
        <v>77</v>
      </c>
    </row>
    <row r="1001" spans="1:33" x14ac:dyDescent="0.25">
      <c r="A1001" t="str">
        <f>"1881663144"</f>
        <v>1881663144</v>
      </c>
      <c r="B1001" t="str">
        <f>"02273178"</f>
        <v>02273178</v>
      </c>
      <c r="C1001" t="s">
        <v>7352</v>
      </c>
      <c r="D1001" t="s">
        <v>3457</v>
      </c>
      <c r="E1001" t="s">
        <v>3458</v>
      </c>
      <c r="G1001" t="s">
        <v>7353</v>
      </c>
      <c r="H1001" t="s">
        <v>3459</v>
      </c>
      <c r="J1001" t="s">
        <v>7354</v>
      </c>
      <c r="L1001" t="s">
        <v>80</v>
      </c>
      <c r="M1001" t="s">
        <v>72</v>
      </c>
      <c r="R1001" t="s">
        <v>3460</v>
      </c>
      <c r="W1001" t="s">
        <v>3458</v>
      </c>
      <c r="X1001" t="s">
        <v>246</v>
      </c>
      <c r="Y1001" t="s">
        <v>247</v>
      </c>
      <c r="Z1001" t="s">
        <v>73</v>
      </c>
      <c r="AA1001" t="str">
        <f>"14225-4018"</f>
        <v>14225-4018</v>
      </c>
      <c r="AB1001" t="s">
        <v>74</v>
      </c>
      <c r="AC1001" t="s">
        <v>75</v>
      </c>
      <c r="AD1001" t="s">
        <v>72</v>
      </c>
      <c r="AE1001" t="s">
        <v>76</v>
      </c>
      <c r="AF1001" t="s">
        <v>3961</v>
      </c>
      <c r="AG1001" t="s">
        <v>77</v>
      </c>
    </row>
    <row r="1002" spans="1:33" x14ac:dyDescent="0.25">
      <c r="A1002" t="str">
        <f>"1790871846"</f>
        <v>1790871846</v>
      </c>
      <c r="B1002" t="str">
        <f>"01541620"</f>
        <v>01541620</v>
      </c>
      <c r="C1002" t="s">
        <v>7355</v>
      </c>
      <c r="D1002" t="s">
        <v>7356</v>
      </c>
      <c r="E1002" t="s">
        <v>7357</v>
      </c>
      <c r="G1002" t="s">
        <v>7358</v>
      </c>
      <c r="H1002" t="s">
        <v>5619</v>
      </c>
      <c r="J1002" t="s">
        <v>7359</v>
      </c>
      <c r="L1002" t="s">
        <v>80</v>
      </c>
      <c r="M1002" t="s">
        <v>72</v>
      </c>
      <c r="R1002" t="s">
        <v>7360</v>
      </c>
      <c r="W1002" t="s">
        <v>7357</v>
      </c>
      <c r="X1002" t="s">
        <v>7361</v>
      </c>
      <c r="Y1002" t="s">
        <v>209</v>
      </c>
      <c r="Z1002" t="s">
        <v>73</v>
      </c>
      <c r="AA1002" t="str">
        <f>"14303-1448"</f>
        <v>14303-1448</v>
      </c>
      <c r="AB1002" t="s">
        <v>74</v>
      </c>
      <c r="AC1002" t="s">
        <v>75</v>
      </c>
      <c r="AD1002" t="s">
        <v>72</v>
      </c>
      <c r="AE1002" t="s">
        <v>76</v>
      </c>
      <c r="AF1002" t="s">
        <v>3961</v>
      </c>
      <c r="AG1002" t="s">
        <v>77</v>
      </c>
    </row>
    <row r="1003" spans="1:33" x14ac:dyDescent="0.25">
      <c r="A1003" t="str">
        <f>"1376542704"</f>
        <v>1376542704</v>
      </c>
      <c r="B1003" t="str">
        <f>"00823038"</f>
        <v>00823038</v>
      </c>
      <c r="C1003" t="s">
        <v>7362</v>
      </c>
      <c r="D1003" t="s">
        <v>7363</v>
      </c>
      <c r="E1003" t="s">
        <v>7364</v>
      </c>
      <c r="G1003" t="s">
        <v>7365</v>
      </c>
      <c r="H1003" t="s">
        <v>7366</v>
      </c>
      <c r="J1003" t="s">
        <v>7367</v>
      </c>
      <c r="L1003" t="s">
        <v>79</v>
      </c>
      <c r="M1003" t="s">
        <v>72</v>
      </c>
      <c r="R1003" t="s">
        <v>7368</v>
      </c>
      <c r="W1003" t="s">
        <v>7364</v>
      </c>
      <c r="X1003" t="s">
        <v>6586</v>
      </c>
      <c r="Y1003" t="s">
        <v>247</v>
      </c>
      <c r="Z1003" t="s">
        <v>73</v>
      </c>
      <c r="AA1003" t="str">
        <f>"14225-4021"</f>
        <v>14225-4021</v>
      </c>
      <c r="AB1003" t="s">
        <v>113</v>
      </c>
      <c r="AC1003" t="s">
        <v>75</v>
      </c>
      <c r="AD1003" t="s">
        <v>72</v>
      </c>
      <c r="AE1003" t="s">
        <v>76</v>
      </c>
      <c r="AF1003" t="s">
        <v>3974</v>
      </c>
      <c r="AG1003" t="s">
        <v>77</v>
      </c>
    </row>
    <row r="1004" spans="1:33" x14ac:dyDescent="0.25">
      <c r="A1004" t="str">
        <f>"1508933581"</f>
        <v>1508933581</v>
      </c>
      <c r="B1004" t="str">
        <f>"01114290"</f>
        <v>01114290</v>
      </c>
      <c r="C1004" t="s">
        <v>7369</v>
      </c>
      <c r="D1004" t="s">
        <v>7370</v>
      </c>
      <c r="E1004" t="s">
        <v>7371</v>
      </c>
      <c r="G1004" t="s">
        <v>6960</v>
      </c>
      <c r="H1004" t="s">
        <v>6961</v>
      </c>
      <c r="J1004" t="s">
        <v>6962</v>
      </c>
      <c r="L1004" t="s">
        <v>80</v>
      </c>
      <c r="M1004" t="s">
        <v>72</v>
      </c>
      <c r="R1004" t="s">
        <v>7372</v>
      </c>
      <c r="W1004" t="s">
        <v>7371</v>
      </c>
      <c r="X1004" t="s">
        <v>974</v>
      </c>
      <c r="Y1004" t="s">
        <v>209</v>
      </c>
      <c r="Z1004" t="s">
        <v>73</v>
      </c>
      <c r="AA1004" t="str">
        <f>"14301-1807"</f>
        <v>14301-1807</v>
      </c>
      <c r="AB1004" t="s">
        <v>74</v>
      </c>
      <c r="AC1004" t="s">
        <v>75</v>
      </c>
      <c r="AD1004" t="s">
        <v>72</v>
      </c>
      <c r="AE1004" t="s">
        <v>76</v>
      </c>
      <c r="AF1004" t="s">
        <v>3961</v>
      </c>
      <c r="AG1004" t="s">
        <v>77</v>
      </c>
    </row>
    <row r="1005" spans="1:33" x14ac:dyDescent="0.25">
      <c r="A1005" t="str">
        <f>"1205806627"</f>
        <v>1205806627</v>
      </c>
      <c r="B1005" t="str">
        <f>"02316594"</f>
        <v>02316594</v>
      </c>
      <c r="C1005" t="s">
        <v>7373</v>
      </c>
      <c r="D1005" t="s">
        <v>7374</v>
      </c>
      <c r="E1005" t="s">
        <v>7375</v>
      </c>
      <c r="G1005" t="s">
        <v>5546</v>
      </c>
      <c r="H1005" t="s">
        <v>5547</v>
      </c>
      <c r="J1005" t="s">
        <v>5548</v>
      </c>
      <c r="L1005" t="s">
        <v>79</v>
      </c>
      <c r="M1005" t="s">
        <v>72</v>
      </c>
      <c r="R1005" t="s">
        <v>7376</v>
      </c>
      <c r="W1005" t="s">
        <v>7375</v>
      </c>
      <c r="X1005" t="s">
        <v>295</v>
      </c>
      <c r="Y1005" t="s">
        <v>117</v>
      </c>
      <c r="Z1005" t="s">
        <v>73</v>
      </c>
      <c r="AA1005" t="str">
        <f>"14215-3021"</f>
        <v>14215-3021</v>
      </c>
      <c r="AB1005" t="s">
        <v>74</v>
      </c>
      <c r="AC1005" t="s">
        <v>75</v>
      </c>
      <c r="AD1005" t="s">
        <v>72</v>
      </c>
      <c r="AE1005" t="s">
        <v>76</v>
      </c>
      <c r="AG1005" t="s">
        <v>77</v>
      </c>
    </row>
    <row r="1006" spans="1:33" x14ac:dyDescent="0.25">
      <c r="A1006" t="str">
        <f>"1447224407"</f>
        <v>1447224407</v>
      </c>
      <c r="B1006" t="str">
        <f>"00625787"</f>
        <v>00625787</v>
      </c>
      <c r="C1006" t="s">
        <v>7377</v>
      </c>
      <c r="D1006" t="s">
        <v>7378</v>
      </c>
      <c r="E1006" t="s">
        <v>7379</v>
      </c>
      <c r="G1006" t="s">
        <v>5446</v>
      </c>
      <c r="H1006" t="s">
        <v>368</v>
      </c>
      <c r="J1006" t="s">
        <v>5447</v>
      </c>
      <c r="L1006" t="s">
        <v>80</v>
      </c>
      <c r="M1006" t="s">
        <v>72</v>
      </c>
      <c r="R1006" t="s">
        <v>7380</v>
      </c>
      <c r="W1006" t="s">
        <v>7379</v>
      </c>
      <c r="X1006" t="s">
        <v>2134</v>
      </c>
      <c r="Y1006" t="s">
        <v>436</v>
      </c>
      <c r="Z1006" t="s">
        <v>73</v>
      </c>
      <c r="AA1006" t="str">
        <f>"14217-1094"</f>
        <v>14217-1094</v>
      </c>
      <c r="AB1006" t="s">
        <v>74</v>
      </c>
      <c r="AC1006" t="s">
        <v>75</v>
      </c>
      <c r="AD1006" t="s">
        <v>72</v>
      </c>
      <c r="AE1006" t="s">
        <v>76</v>
      </c>
      <c r="AF1006" t="s">
        <v>4431</v>
      </c>
      <c r="AG1006" t="s">
        <v>77</v>
      </c>
    </row>
    <row r="1007" spans="1:33" x14ac:dyDescent="0.25">
      <c r="A1007" t="str">
        <f>"1740238906"</f>
        <v>1740238906</v>
      </c>
      <c r="B1007" t="str">
        <f>"01570974"</f>
        <v>01570974</v>
      </c>
      <c r="C1007" t="s">
        <v>7381</v>
      </c>
      <c r="D1007" t="s">
        <v>2442</v>
      </c>
      <c r="E1007" t="s">
        <v>2443</v>
      </c>
      <c r="G1007" t="s">
        <v>7381</v>
      </c>
      <c r="H1007" t="s">
        <v>789</v>
      </c>
      <c r="J1007" t="s">
        <v>7382</v>
      </c>
      <c r="L1007" t="s">
        <v>96</v>
      </c>
      <c r="M1007" t="s">
        <v>72</v>
      </c>
      <c r="R1007" t="s">
        <v>2444</v>
      </c>
      <c r="W1007" t="s">
        <v>2443</v>
      </c>
      <c r="X1007" t="s">
        <v>2445</v>
      </c>
      <c r="Y1007" t="s">
        <v>217</v>
      </c>
      <c r="Z1007" t="s">
        <v>73</v>
      </c>
      <c r="AA1007" t="str">
        <f>"14760"</f>
        <v>14760</v>
      </c>
      <c r="AB1007" t="s">
        <v>74</v>
      </c>
      <c r="AC1007" t="s">
        <v>75</v>
      </c>
      <c r="AD1007" t="s">
        <v>72</v>
      </c>
      <c r="AE1007" t="s">
        <v>76</v>
      </c>
      <c r="AF1007" t="s">
        <v>3974</v>
      </c>
      <c r="AG1007" t="s">
        <v>77</v>
      </c>
    </row>
    <row r="1008" spans="1:33" x14ac:dyDescent="0.25">
      <c r="A1008" t="str">
        <f>"1770762015"</f>
        <v>1770762015</v>
      </c>
      <c r="B1008" t="str">
        <f>"01617481"</f>
        <v>01617481</v>
      </c>
      <c r="C1008" t="s">
        <v>7383</v>
      </c>
      <c r="D1008" t="s">
        <v>7384</v>
      </c>
      <c r="E1008" t="s">
        <v>7385</v>
      </c>
      <c r="G1008" t="s">
        <v>6238</v>
      </c>
      <c r="H1008" t="s">
        <v>6239</v>
      </c>
      <c r="J1008" t="s">
        <v>6240</v>
      </c>
      <c r="L1008" t="s">
        <v>80</v>
      </c>
      <c r="M1008" t="s">
        <v>72</v>
      </c>
      <c r="R1008" t="s">
        <v>7386</v>
      </c>
      <c r="W1008" t="s">
        <v>7385</v>
      </c>
      <c r="X1008" t="s">
        <v>472</v>
      </c>
      <c r="Y1008" t="s">
        <v>326</v>
      </c>
      <c r="Z1008" t="s">
        <v>73</v>
      </c>
      <c r="AA1008" t="str">
        <f>"14127-1732"</f>
        <v>14127-1732</v>
      </c>
      <c r="AB1008" t="s">
        <v>74</v>
      </c>
      <c r="AC1008" t="s">
        <v>75</v>
      </c>
      <c r="AD1008" t="s">
        <v>72</v>
      </c>
      <c r="AE1008" t="s">
        <v>76</v>
      </c>
      <c r="AF1008" t="s">
        <v>3961</v>
      </c>
      <c r="AG1008" t="s">
        <v>77</v>
      </c>
    </row>
    <row r="1009" spans="1:33" x14ac:dyDescent="0.25">
      <c r="A1009" t="str">
        <f>"1326041799"</f>
        <v>1326041799</v>
      </c>
      <c r="B1009" t="str">
        <f>"01032379"</f>
        <v>01032379</v>
      </c>
      <c r="C1009" t="s">
        <v>7387</v>
      </c>
      <c r="D1009" t="s">
        <v>2175</v>
      </c>
      <c r="E1009" t="s">
        <v>2176</v>
      </c>
      <c r="G1009" t="s">
        <v>7387</v>
      </c>
      <c r="H1009" t="s">
        <v>647</v>
      </c>
      <c r="J1009" t="s">
        <v>7388</v>
      </c>
      <c r="L1009" t="s">
        <v>79</v>
      </c>
      <c r="M1009" t="s">
        <v>72</v>
      </c>
      <c r="R1009" t="s">
        <v>2177</v>
      </c>
      <c r="W1009" t="s">
        <v>2176</v>
      </c>
      <c r="X1009" t="s">
        <v>2178</v>
      </c>
      <c r="Y1009" t="s">
        <v>114</v>
      </c>
      <c r="Z1009" t="s">
        <v>73</v>
      </c>
      <c r="AA1009" t="str">
        <f>"10467-2702"</f>
        <v>10467-2702</v>
      </c>
      <c r="AB1009" t="s">
        <v>74</v>
      </c>
      <c r="AC1009" t="s">
        <v>75</v>
      </c>
      <c r="AD1009" t="s">
        <v>72</v>
      </c>
      <c r="AE1009" t="s">
        <v>76</v>
      </c>
      <c r="AF1009" t="s">
        <v>3961</v>
      </c>
      <c r="AG1009" t="s">
        <v>77</v>
      </c>
    </row>
    <row r="1010" spans="1:33" x14ac:dyDescent="0.25">
      <c r="A1010" t="str">
        <f>"1225033236"</f>
        <v>1225033236</v>
      </c>
      <c r="B1010" t="str">
        <f>"00631714"</f>
        <v>00631714</v>
      </c>
      <c r="C1010" t="s">
        <v>7389</v>
      </c>
      <c r="D1010" t="s">
        <v>1993</v>
      </c>
      <c r="E1010" t="s">
        <v>1994</v>
      </c>
      <c r="G1010" t="s">
        <v>7390</v>
      </c>
      <c r="H1010" t="s">
        <v>1995</v>
      </c>
      <c r="J1010" t="s">
        <v>7391</v>
      </c>
      <c r="L1010" t="s">
        <v>79</v>
      </c>
      <c r="M1010" t="s">
        <v>72</v>
      </c>
      <c r="R1010" t="s">
        <v>1996</v>
      </c>
      <c r="W1010" t="s">
        <v>1994</v>
      </c>
      <c r="X1010" t="s">
        <v>1997</v>
      </c>
      <c r="Y1010" t="s">
        <v>365</v>
      </c>
      <c r="Z1010" t="s">
        <v>73</v>
      </c>
      <c r="AA1010" t="str">
        <f>"14150-9405"</f>
        <v>14150-9405</v>
      </c>
      <c r="AB1010" t="s">
        <v>74</v>
      </c>
      <c r="AC1010" t="s">
        <v>75</v>
      </c>
      <c r="AD1010" t="s">
        <v>72</v>
      </c>
      <c r="AE1010" t="s">
        <v>76</v>
      </c>
      <c r="AF1010" t="s">
        <v>3974</v>
      </c>
      <c r="AG1010" t="s">
        <v>77</v>
      </c>
    </row>
    <row r="1011" spans="1:33" x14ac:dyDescent="0.25">
      <c r="A1011" t="str">
        <f>"1487833117"</f>
        <v>1487833117</v>
      </c>
      <c r="B1011" t="str">
        <f>"02960736"</f>
        <v>02960736</v>
      </c>
      <c r="C1011" t="s">
        <v>7392</v>
      </c>
      <c r="D1011" t="s">
        <v>7393</v>
      </c>
      <c r="E1011" t="s">
        <v>7394</v>
      </c>
      <c r="G1011" t="s">
        <v>4047</v>
      </c>
      <c r="H1011" t="s">
        <v>634</v>
      </c>
      <c r="J1011" t="s">
        <v>4048</v>
      </c>
      <c r="L1011" t="s">
        <v>79</v>
      </c>
      <c r="M1011" t="s">
        <v>72</v>
      </c>
      <c r="R1011" t="s">
        <v>7395</v>
      </c>
      <c r="W1011" t="s">
        <v>7394</v>
      </c>
      <c r="X1011" t="s">
        <v>3282</v>
      </c>
      <c r="Y1011" t="s">
        <v>354</v>
      </c>
      <c r="Z1011" t="s">
        <v>73</v>
      </c>
      <c r="AA1011" t="str">
        <f>"14787-1121"</f>
        <v>14787-1121</v>
      </c>
      <c r="AB1011" t="s">
        <v>74</v>
      </c>
      <c r="AC1011" t="s">
        <v>75</v>
      </c>
      <c r="AD1011" t="s">
        <v>72</v>
      </c>
      <c r="AE1011" t="s">
        <v>76</v>
      </c>
      <c r="AF1011" t="s">
        <v>4049</v>
      </c>
      <c r="AG1011" t="s">
        <v>77</v>
      </c>
    </row>
    <row r="1012" spans="1:33" x14ac:dyDescent="0.25">
      <c r="A1012" t="str">
        <f>"1740401918"</f>
        <v>1740401918</v>
      </c>
      <c r="B1012" t="str">
        <f>"02882837"</f>
        <v>02882837</v>
      </c>
      <c r="C1012" t="s">
        <v>7396</v>
      </c>
      <c r="D1012" t="s">
        <v>7397</v>
      </c>
      <c r="E1012" t="s">
        <v>7398</v>
      </c>
      <c r="G1012" t="s">
        <v>4852</v>
      </c>
      <c r="H1012" t="s">
        <v>4853</v>
      </c>
      <c r="J1012" t="s">
        <v>4854</v>
      </c>
      <c r="L1012" t="s">
        <v>80</v>
      </c>
      <c r="M1012" t="s">
        <v>81</v>
      </c>
      <c r="R1012" t="s">
        <v>7395</v>
      </c>
      <c r="W1012" t="s">
        <v>7399</v>
      </c>
      <c r="X1012" t="s">
        <v>1895</v>
      </c>
      <c r="Y1012" t="s">
        <v>1079</v>
      </c>
      <c r="Z1012" t="s">
        <v>73</v>
      </c>
      <c r="AA1012" t="str">
        <f>"14075-2600"</f>
        <v>14075-2600</v>
      </c>
      <c r="AB1012" t="s">
        <v>74</v>
      </c>
      <c r="AC1012" t="s">
        <v>75</v>
      </c>
      <c r="AD1012" t="s">
        <v>72</v>
      </c>
      <c r="AE1012" t="s">
        <v>76</v>
      </c>
      <c r="AF1012" t="s">
        <v>3961</v>
      </c>
      <c r="AG1012" t="s">
        <v>77</v>
      </c>
    </row>
    <row r="1013" spans="1:33" x14ac:dyDescent="0.25">
      <c r="A1013" t="str">
        <f>"1184697120"</f>
        <v>1184697120</v>
      </c>
      <c r="B1013" t="str">
        <f>"02046028"</f>
        <v>02046028</v>
      </c>
      <c r="C1013" t="s">
        <v>7400</v>
      </c>
      <c r="D1013" t="s">
        <v>7401</v>
      </c>
      <c r="E1013" t="s">
        <v>7402</v>
      </c>
      <c r="L1013" t="s">
        <v>79</v>
      </c>
      <c r="M1013" t="s">
        <v>72</v>
      </c>
      <c r="R1013" t="s">
        <v>7403</v>
      </c>
      <c r="W1013" t="s">
        <v>7402</v>
      </c>
      <c r="X1013" t="s">
        <v>794</v>
      </c>
      <c r="Y1013" t="s">
        <v>117</v>
      </c>
      <c r="Z1013" t="s">
        <v>73</v>
      </c>
      <c r="AA1013" t="str">
        <f>"14214-8001"</f>
        <v>14214-8001</v>
      </c>
      <c r="AB1013" t="s">
        <v>74</v>
      </c>
      <c r="AC1013" t="s">
        <v>75</v>
      </c>
      <c r="AD1013" t="s">
        <v>72</v>
      </c>
      <c r="AE1013" t="s">
        <v>76</v>
      </c>
      <c r="AF1013" t="s">
        <v>3974</v>
      </c>
      <c r="AG1013" t="s">
        <v>77</v>
      </c>
    </row>
    <row r="1014" spans="1:33" x14ac:dyDescent="0.25">
      <c r="A1014" t="str">
        <f>"1265595474"</f>
        <v>1265595474</v>
      </c>
      <c r="B1014" t="str">
        <f>"02505122"</f>
        <v>02505122</v>
      </c>
      <c r="C1014" t="s">
        <v>7404</v>
      </c>
      <c r="D1014" t="s">
        <v>7405</v>
      </c>
      <c r="E1014" t="s">
        <v>7406</v>
      </c>
      <c r="L1014" t="s">
        <v>79</v>
      </c>
      <c r="M1014" t="s">
        <v>72</v>
      </c>
      <c r="R1014" t="s">
        <v>7407</v>
      </c>
      <c r="W1014" t="s">
        <v>7406</v>
      </c>
      <c r="X1014" t="s">
        <v>7406</v>
      </c>
      <c r="Y1014" t="s">
        <v>3012</v>
      </c>
      <c r="Z1014" t="s">
        <v>73</v>
      </c>
      <c r="AA1014" t="str">
        <f>"14226-3353"</f>
        <v>14226-3353</v>
      </c>
      <c r="AB1014" t="s">
        <v>74</v>
      </c>
      <c r="AC1014" t="s">
        <v>75</v>
      </c>
      <c r="AD1014" t="s">
        <v>72</v>
      </c>
      <c r="AE1014" t="s">
        <v>76</v>
      </c>
      <c r="AF1014" t="s">
        <v>3961</v>
      </c>
      <c r="AG1014" t="s">
        <v>77</v>
      </c>
    </row>
    <row r="1015" spans="1:33" x14ac:dyDescent="0.25">
      <c r="A1015" t="str">
        <f>"1790756880"</f>
        <v>1790756880</v>
      </c>
      <c r="B1015" t="str">
        <f>"02281689"</f>
        <v>02281689</v>
      </c>
      <c r="C1015" t="s">
        <v>7408</v>
      </c>
      <c r="D1015" t="s">
        <v>7409</v>
      </c>
      <c r="E1015" t="s">
        <v>7410</v>
      </c>
      <c r="L1015" t="s">
        <v>71</v>
      </c>
      <c r="M1015" t="s">
        <v>72</v>
      </c>
      <c r="R1015" t="s">
        <v>7411</v>
      </c>
      <c r="W1015" t="s">
        <v>7410</v>
      </c>
      <c r="X1015" t="s">
        <v>7412</v>
      </c>
      <c r="Y1015" t="s">
        <v>209</v>
      </c>
      <c r="Z1015" t="s">
        <v>73</v>
      </c>
      <c r="AA1015" t="str">
        <f>"14301-1505"</f>
        <v>14301-1505</v>
      </c>
      <c r="AB1015" t="s">
        <v>74</v>
      </c>
      <c r="AC1015" t="s">
        <v>75</v>
      </c>
      <c r="AD1015" t="s">
        <v>72</v>
      </c>
      <c r="AE1015" t="s">
        <v>76</v>
      </c>
      <c r="AF1015" t="s">
        <v>3974</v>
      </c>
      <c r="AG1015" t="s">
        <v>77</v>
      </c>
    </row>
    <row r="1016" spans="1:33" x14ac:dyDescent="0.25">
      <c r="A1016" t="str">
        <f>"1619910718"</f>
        <v>1619910718</v>
      </c>
      <c r="B1016" t="str">
        <f>"02074257"</f>
        <v>02074257</v>
      </c>
      <c r="C1016" t="s">
        <v>7413</v>
      </c>
      <c r="D1016" t="s">
        <v>7414</v>
      </c>
      <c r="E1016" t="s">
        <v>7415</v>
      </c>
      <c r="L1016" t="s">
        <v>71</v>
      </c>
      <c r="M1016" t="s">
        <v>72</v>
      </c>
      <c r="R1016" t="s">
        <v>7416</v>
      </c>
      <c r="W1016" t="s">
        <v>7415</v>
      </c>
      <c r="X1016" t="s">
        <v>1392</v>
      </c>
      <c r="Y1016" t="s">
        <v>117</v>
      </c>
      <c r="Z1016" t="s">
        <v>73</v>
      </c>
      <c r="AA1016" t="str">
        <f>"14220-1700"</f>
        <v>14220-1700</v>
      </c>
      <c r="AB1016" t="s">
        <v>74</v>
      </c>
      <c r="AC1016" t="s">
        <v>75</v>
      </c>
      <c r="AD1016" t="s">
        <v>72</v>
      </c>
      <c r="AE1016" t="s">
        <v>76</v>
      </c>
      <c r="AF1016" t="s">
        <v>3974</v>
      </c>
      <c r="AG1016" t="s">
        <v>77</v>
      </c>
    </row>
    <row r="1017" spans="1:33" x14ac:dyDescent="0.25">
      <c r="A1017" t="str">
        <f>"1639433170"</f>
        <v>1639433170</v>
      </c>
      <c r="B1017" t="str">
        <f>"03538492"</f>
        <v>03538492</v>
      </c>
      <c r="C1017" t="s">
        <v>7417</v>
      </c>
      <c r="D1017" t="s">
        <v>7418</v>
      </c>
      <c r="E1017" t="s">
        <v>7419</v>
      </c>
      <c r="L1017" t="s">
        <v>71</v>
      </c>
      <c r="M1017" t="s">
        <v>72</v>
      </c>
      <c r="R1017" t="s">
        <v>7420</v>
      </c>
      <c r="W1017" t="s">
        <v>7419</v>
      </c>
      <c r="X1017" t="s">
        <v>1069</v>
      </c>
      <c r="Y1017" t="s">
        <v>237</v>
      </c>
      <c r="Z1017" t="s">
        <v>73</v>
      </c>
      <c r="AA1017" t="str">
        <f>"14224-2654"</f>
        <v>14224-2654</v>
      </c>
      <c r="AB1017" t="s">
        <v>74</v>
      </c>
      <c r="AC1017" t="s">
        <v>75</v>
      </c>
      <c r="AD1017" t="s">
        <v>72</v>
      </c>
      <c r="AE1017" t="s">
        <v>76</v>
      </c>
      <c r="AF1017" t="s">
        <v>3974</v>
      </c>
      <c r="AG1017" t="s">
        <v>77</v>
      </c>
    </row>
    <row r="1018" spans="1:33" x14ac:dyDescent="0.25">
      <c r="A1018" t="str">
        <f>"1235198219"</f>
        <v>1235198219</v>
      </c>
      <c r="B1018" t="str">
        <f>"02343048"</f>
        <v>02343048</v>
      </c>
      <c r="C1018" t="s">
        <v>7421</v>
      </c>
      <c r="D1018" t="s">
        <v>7422</v>
      </c>
      <c r="E1018" t="s">
        <v>7423</v>
      </c>
      <c r="L1018" t="s">
        <v>79</v>
      </c>
      <c r="M1018" t="s">
        <v>72</v>
      </c>
      <c r="R1018" t="s">
        <v>7424</v>
      </c>
      <c r="W1018" t="s">
        <v>7423</v>
      </c>
      <c r="X1018" t="s">
        <v>7425</v>
      </c>
      <c r="Y1018" t="s">
        <v>365</v>
      </c>
      <c r="Z1018" t="s">
        <v>73</v>
      </c>
      <c r="AA1018" t="str">
        <f>"14150-9410"</f>
        <v>14150-9410</v>
      </c>
      <c r="AB1018" t="s">
        <v>74</v>
      </c>
      <c r="AC1018" t="s">
        <v>75</v>
      </c>
      <c r="AD1018" t="s">
        <v>72</v>
      </c>
      <c r="AE1018" t="s">
        <v>76</v>
      </c>
      <c r="AF1018" t="s">
        <v>3974</v>
      </c>
      <c r="AG1018" t="s">
        <v>77</v>
      </c>
    </row>
    <row r="1019" spans="1:33" x14ac:dyDescent="0.25">
      <c r="A1019" t="str">
        <f>"1154305266"</f>
        <v>1154305266</v>
      </c>
      <c r="B1019" t="str">
        <f>"02427287"</f>
        <v>02427287</v>
      </c>
      <c r="C1019" t="s">
        <v>7426</v>
      </c>
      <c r="D1019" t="s">
        <v>334</v>
      </c>
      <c r="E1019" t="s">
        <v>335</v>
      </c>
      <c r="L1019" t="s">
        <v>80</v>
      </c>
      <c r="M1019" t="s">
        <v>72</v>
      </c>
      <c r="R1019" t="s">
        <v>336</v>
      </c>
      <c r="W1019" t="s">
        <v>335</v>
      </c>
      <c r="X1019" t="s">
        <v>327</v>
      </c>
      <c r="Y1019" t="s">
        <v>328</v>
      </c>
      <c r="Z1019" t="s">
        <v>73</v>
      </c>
      <c r="AA1019" t="str">
        <f>"14510-9727"</f>
        <v>14510-9727</v>
      </c>
      <c r="AB1019" t="s">
        <v>74</v>
      </c>
      <c r="AC1019" t="s">
        <v>75</v>
      </c>
      <c r="AD1019" t="s">
        <v>72</v>
      </c>
      <c r="AE1019" t="s">
        <v>76</v>
      </c>
      <c r="AF1019" t="s">
        <v>3974</v>
      </c>
      <c r="AG1019" t="s">
        <v>77</v>
      </c>
    </row>
    <row r="1020" spans="1:33" x14ac:dyDescent="0.25">
      <c r="A1020" t="str">
        <f>"1659365500"</f>
        <v>1659365500</v>
      </c>
      <c r="B1020" t="str">
        <f>"02346454"</f>
        <v>02346454</v>
      </c>
      <c r="C1020" t="s">
        <v>7427</v>
      </c>
      <c r="D1020" t="s">
        <v>7428</v>
      </c>
      <c r="E1020" t="s">
        <v>7429</v>
      </c>
      <c r="L1020" t="s">
        <v>79</v>
      </c>
      <c r="M1020" t="s">
        <v>81</v>
      </c>
      <c r="R1020" t="s">
        <v>7430</v>
      </c>
      <c r="W1020" t="s">
        <v>7431</v>
      </c>
      <c r="X1020" t="s">
        <v>2274</v>
      </c>
      <c r="Y1020" t="s">
        <v>117</v>
      </c>
      <c r="Z1020" t="s">
        <v>73</v>
      </c>
      <c r="AA1020" t="str">
        <f>"14201-2135"</f>
        <v>14201-2135</v>
      </c>
      <c r="AB1020" t="s">
        <v>74</v>
      </c>
      <c r="AC1020" t="s">
        <v>75</v>
      </c>
      <c r="AD1020" t="s">
        <v>72</v>
      </c>
      <c r="AE1020" t="s">
        <v>76</v>
      </c>
      <c r="AF1020" t="s">
        <v>3961</v>
      </c>
      <c r="AG1020" t="s">
        <v>77</v>
      </c>
    </row>
    <row r="1021" spans="1:33" x14ac:dyDescent="0.25">
      <c r="A1021" t="str">
        <f>"1184727455"</f>
        <v>1184727455</v>
      </c>
      <c r="B1021" t="str">
        <f>"02343786"</f>
        <v>02343786</v>
      </c>
      <c r="C1021" t="s">
        <v>7432</v>
      </c>
      <c r="D1021" t="s">
        <v>7433</v>
      </c>
      <c r="E1021" t="s">
        <v>7434</v>
      </c>
      <c r="L1021" t="s">
        <v>71</v>
      </c>
      <c r="M1021" t="s">
        <v>72</v>
      </c>
      <c r="R1021" t="s">
        <v>7434</v>
      </c>
      <c r="W1021" t="s">
        <v>7435</v>
      </c>
      <c r="X1021" t="s">
        <v>970</v>
      </c>
      <c r="Y1021" t="s">
        <v>326</v>
      </c>
      <c r="Z1021" t="s">
        <v>73</v>
      </c>
      <c r="AA1021" t="str">
        <f>"14127-1500"</f>
        <v>14127-1500</v>
      </c>
      <c r="AB1021" t="s">
        <v>74</v>
      </c>
      <c r="AC1021" t="s">
        <v>75</v>
      </c>
      <c r="AD1021" t="s">
        <v>72</v>
      </c>
      <c r="AE1021" t="s">
        <v>76</v>
      </c>
      <c r="AF1021" t="s">
        <v>3961</v>
      </c>
      <c r="AG1021" t="s">
        <v>77</v>
      </c>
    </row>
    <row r="1022" spans="1:33" x14ac:dyDescent="0.25">
      <c r="A1022" t="str">
        <f>"1639198062"</f>
        <v>1639198062</v>
      </c>
      <c r="B1022" t="str">
        <f>"02775831"</f>
        <v>02775831</v>
      </c>
      <c r="C1022" t="s">
        <v>7436</v>
      </c>
      <c r="D1022" t="s">
        <v>7437</v>
      </c>
      <c r="E1022" t="s">
        <v>7438</v>
      </c>
      <c r="L1022" t="s">
        <v>71</v>
      </c>
      <c r="M1022" t="s">
        <v>72</v>
      </c>
      <c r="R1022" t="s">
        <v>7439</v>
      </c>
      <c r="W1022" t="s">
        <v>7440</v>
      </c>
      <c r="X1022" t="s">
        <v>234</v>
      </c>
      <c r="Y1022" t="s">
        <v>117</v>
      </c>
      <c r="Z1022" t="s">
        <v>73</v>
      </c>
      <c r="AA1022" t="str">
        <f>"14220-2039"</f>
        <v>14220-2039</v>
      </c>
      <c r="AB1022" t="s">
        <v>74</v>
      </c>
      <c r="AC1022" t="s">
        <v>75</v>
      </c>
      <c r="AD1022" t="s">
        <v>72</v>
      </c>
      <c r="AE1022" t="s">
        <v>76</v>
      </c>
      <c r="AF1022" t="s">
        <v>3974</v>
      </c>
      <c r="AG1022" t="s">
        <v>77</v>
      </c>
    </row>
    <row r="1023" spans="1:33" x14ac:dyDescent="0.25">
      <c r="A1023" t="str">
        <f>"1962452722"</f>
        <v>1962452722</v>
      </c>
      <c r="B1023" t="str">
        <f>"02429990"</f>
        <v>02429990</v>
      </c>
      <c r="C1023" t="s">
        <v>7441</v>
      </c>
      <c r="D1023" t="s">
        <v>7442</v>
      </c>
      <c r="E1023" t="s">
        <v>7443</v>
      </c>
      <c r="L1023" t="s">
        <v>79</v>
      </c>
      <c r="M1023" t="s">
        <v>72</v>
      </c>
      <c r="R1023" t="s">
        <v>7444</v>
      </c>
      <c r="W1023" t="s">
        <v>7443</v>
      </c>
      <c r="X1023" t="s">
        <v>7443</v>
      </c>
      <c r="Y1023" t="s">
        <v>307</v>
      </c>
      <c r="Z1023" t="s">
        <v>73</v>
      </c>
      <c r="AA1023" t="str">
        <f>"14020-1645"</f>
        <v>14020-1645</v>
      </c>
      <c r="AB1023" t="s">
        <v>74</v>
      </c>
      <c r="AC1023" t="s">
        <v>75</v>
      </c>
      <c r="AD1023" t="s">
        <v>72</v>
      </c>
      <c r="AE1023" t="s">
        <v>76</v>
      </c>
      <c r="AG1023" t="s">
        <v>77</v>
      </c>
    </row>
    <row r="1024" spans="1:33" x14ac:dyDescent="0.25">
      <c r="A1024" t="str">
        <f>"1194169599"</f>
        <v>1194169599</v>
      </c>
      <c r="B1024" t="str">
        <f>"03624435"</f>
        <v>03624435</v>
      </c>
      <c r="C1024" t="s">
        <v>7445</v>
      </c>
      <c r="D1024" t="s">
        <v>7446</v>
      </c>
      <c r="E1024" t="s">
        <v>7447</v>
      </c>
      <c r="L1024" t="s">
        <v>79</v>
      </c>
      <c r="M1024" t="s">
        <v>72</v>
      </c>
      <c r="R1024" t="s">
        <v>7448</v>
      </c>
      <c r="W1024" t="s">
        <v>7449</v>
      </c>
      <c r="X1024" t="s">
        <v>7450</v>
      </c>
      <c r="Y1024" t="s">
        <v>247</v>
      </c>
      <c r="Z1024" t="s">
        <v>73</v>
      </c>
      <c r="AA1024" t="str">
        <f>"14225-2591"</f>
        <v>14225-2591</v>
      </c>
      <c r="AB1024" t="s">
        <v>74</v>
      </c>
      <c r="AC1024" t="s">
        <v>75</v>
      </c>
      <c r="AD1024" t="s">
        <v>72</v>
      </c>
      <c r="AE1024" t="s">
        <v>76</v>
      </c>
      <c r="AF1024" t="s">
        <v>3974</v>
      </c>
      <c r="AG1024" t="s">
        <v>77</v>
      </c>
    </row>
    <row r="1025" spans="1:33" x14ac:dyDescent="0.25">
      <c r="A1025" t="str">
        <f>"1255347191"</f>
        <v>1255347191</v>
      </c>
      <c r="B1025" t="str">
        <f>"03056668"</f>
        <v>03056668</v>
      </c>
      <c r="C1025" t="s">
        <v>7451</v>
      </c>
      <c r="D1025" t="s">
        <v>2406</v>
      </c>
      <c r="E1025" t="s">
        <v>2407</v>
      </c>
      <c r="L1025" t="s">
        <v>79</v>
      </c>
      <c r="M1025" t="s">
        <v>72</v>
      </c>
      <c r="R1025" t="s">
        <v>2408</v>
      </c>
      <c r="W1025" t="s">
        <v>2407</v>
      </c>
      <c r="X1025" t="s">
        <v>295</v>
      </c>
      <c r="Y1025" t="s">
        <v>117</v>
      </c>
      <c r="Z1025" t="s">
        <v>73</v>
      </c>
      <c r="AA1025" t="str">
        <f>"14215-3021"</f>
        <v>14215-3021</v>
      </c>
      <c r="AB1025" t="s">
        <v>74</v>
      </c>
      <c r="AC1025" t="s">
        <v>75</v>
      </c>
      <c r="AD1025" t="s">
        <v>72</v>
      </c>
      <c r="AE1025" t="s">
        <v>76</v>
      </c>
      <c r="AF1025" t="s">
        <v>3974</v>
      </c>
      <c r="AG1025" t="s">
        <v>77</v>
      </c>
    </row>
    <row r="1026" spans="1:33" x14ac:dyDescent="0.25">
      <c r="A1026" t="str">
        <f>"1437309085"</f>
        <v>1437309085</v>
      </c>
      <c r="B1026" t="str">
        <f>"03054533"</f>
        <v>03054533</v>
      </c>
      <c r="C1026" t="s">
        <v>7452</v>
      </c>
      <c r="D1026" t="s">
        <v>7453</v>
      </c>
      <c r="E1026" t="s">
        <v>7454</v>
      </c>
      <c r="L1026" t="s">
        <v>79</v>
      </c>
      <c r="M1026" t="s">
        <v>72</v>
      </c>
      <c r="R1026" t="s">
        <v>7455</v>
      </c>
      <c r="W1026" t="s">
        <v>7454</v>
      </c>
      <c r="X1026" t="s">
        <v>7456</v>
      </c>
      <c r="Y1026" t="s">
        <v>7457</v>
      </c>
      <c r="Z1026" t="s">
        <v>177</v>
      </c>
      <c r="AA1026" t="str">
        <f>"16428-1926"</f>
        <v>16428-1926</v>
      </c>
      <c r="AB1026" t="s">
        <v>74</v>
      </c>
      <c r="AC1026" t="s">
        <v>75</v>
      </c>
      <c r="AD1026" t="s">
        <v>72</v>
      </c>
      <c r="AE1026" t="s">
        <v>76</v>
      </c>
      <c r="AF1026" t="s">
        <v>3974</v>
      </c>
      <c r="AG1026" t="s">
        <v>77</v>
      </c>
    </row>
    <row r="1027" spans="1:33" x14ac:dyDescent="0.25">
      <c r="A1027" t="str">
        <f>"1184889057"</f>
        <v>1184889057</v>
      </c>
      <c r="B1027" t="str">
        <f>"03254208"</f>
        <v>03254208</v>
      </c>
      <c r="C1027" t="s">
        <v>7458</v>
      </c>
      <c r="D1027" t="s">
        <v>7459</v>
      </c>
      <c r="E1027" t="s">
        <v>7460</v>
      </c>
      <c r="L1027" t="s">
        <v>71</v>
      </c>
      <c r="M1027" t="s">
        <v>72</v>
      </c>
      <c r="R1027" t="s">
        <v>7460</v>
      </c>
      <c r="W1027" t="s">
        <v>7461</v>
      </c>
      <c r="X1027" t="s">
        <v>650</v>
      </c>
      <c r="Y1027" t="s">
        <v>570</v>
      </c>
      <c r="Z1027" t="s">
        <v>73</v>
      </c>
      <c r="AA1027" t="str">
        <f>"14051-1786"</f>
        <v>14051-1786</v>
      </c>
      <c r="AB1027" t="s">
        <v>74</v>
      </c>
      <c r="AC1027" t="s">
        <v>75</v>
      </c>
      <c r="AD1027" t="s">
        <v>72</v>
      </c>
      <c r="AE1027" t="s">
        <v>76</v>
      </c>
      <c r="AF1027" t="s">
        <v>3974</v>
      </c>
      <c r="AG1027" t="s">
        <v>77</v>
      </c>
    </row>
    <row r="1028" spans="1:33" x14ac:dyDescent="0.25">
      <c r="A1028" t="str">
        <f>"1538574595"</f>
        <v>1538574595</v>
      </c>
      <c r="B1028" t="str">
        <f>"03999671"</f>
        <v>03999671</v>
      </c>
      <c r="C1028" t="s">
        <v>7462</v>
      </c>
      <c r="D1028" t="s">
        <v>7463</v>
      </c>
      <c r="E1028" t="s">
        <v>7464</v>
      </c>
      <c r="L1028" t="s">
        <v>79</v>
      </c>
      <c r="M1028" t="s">
        <v>72</v>
      </c>
      <c r="R1028" t="s">
        <v>7465</v>
      </c>
      <c r="W1028" t="s">
        <v>7464</v>
      </c>
      <c r="X1028" t="s">
        <v>502</v>
      </c>
      <c r="Y1028" t="s">
        <v>503</v>
      </c>
      <c r="Z1028" t="s">
        <v>73</v>
      </c>
      <c r="AA1028" t="str">
        <f>"14009-1113"</f>
        <v>14009-1113</v>
      </c>
      <c r="AB1028" t="s">
        <v>74</v>
      </c>
      <c r="AC1028" t="s">
        <v>75</v>
      </c>
      <c r="AD1028" t="s">
        <v>72</v>
      </c>
      <c r="AE1028" t="s">
        <v>76</v>
      </c>
      <c r="AF1028" t="s">
        <v>3961</v>
      </c>
      <c r="AG1028" t="s">
        <v>77</v>
      </c>
    </row>
    <row r="1029" spans="1:33" x14ac:dyDescent="0.25">
      <c r="A1029" t="str">
        <f>"1447311345"</f>
        <v>1447311345</v>
      </c>
      <c r="B1029" t="str">
        <f>"02508267"</f>
        <v>02508267</v>
      </c>
      <c r="C1029" t="s">
        <v>7466</v>
      </c>
      <c r="D1029" t="s">
        <v>7467</v>
      </c>
      <c r="E1029" t="s">
        <v>7468</v>
      </c>
      <c r="L1029" t="s">
        <v>80</v>
      </c>
      <c r="M1029" t="s">
        <v>72</v>
      </c>
      <c r="R1029" t="s">
        <v>7469</v>
      </c>
      <c r="W1029" t="s">
        <v>7468</v>
      </c>
      <c r="X1029" t="s">
        <v>7468</v>
      </c>
      <c r="Y1029" t="s">
        <v>188</v>
      </c>
      <c r="Z1029" t="s">
        <v>73</v>
      </c>
      <c r="AA1029" t="str">
        <f>"14092-1953"</f>
        <v>14092-1953</v>
      </c>
      <c r="AB1029" t="s">
        <v>74</v>
      </c>
      <c r="AC1029" t="s">
        <v>75</v>
      </c>
      <c r="AD1029" t="s">
        <v>72</v>
      </c>
      <c r="AE1029" t="s">
        <v>76</v>
      </c>
      <c r="AF1029" t="s">
        <v>3961</v>
      </c>
      <c r="AG1029" t="s">
        <v>77</v>
      </c>
    </row>
    <row r="1030" spans="1:33" x14ac:dyDescent="0.25">
      <c r="A1030" t="str">
        <f>"1689082323"</f>
        <v>1689082323</v>
      </c>
      <c r="B1030" t="str">
        <f>"03970216"</f>
        <v>03970216</v>
      </c>
      <c r="C1030" t="s">
        <v>7470</v>
      </c>
      <c r="D1030" t="s">
        <v>7471</v>
      </c>
      <c r="E1030" t="s">
        <v>7472</v>
      </c>
      <c r="L1030" t="s">
        <v>71</v>
      </c>
      <c r="M1030" t="s">
        <v>72</v>
      </c>
      <c r="R1030" t="s">
        <v>7473</v>
      </c>
      <c r="W1030" t="s">
        <v>7472</v>
      </c>
      <c r="X1030" t="s">
        <v>1550</v>
      </c>
      <c r="Y1030" t="s">
        <v>228</v>
      </c>
      <c r="Z1030" t="s">
        <v>73</v>
      </c>
      <c r="AA1030" t="str">
        <f>"14226-1727"</f>
        <v>14226-1727</v>
      </c>
      <c r="AB1030" t="s">
        <v>74</v>
      </c>
      <c r="AC1030" t="s">
        <v>75</v>
      </c>
      <c r="AD1030" t="s">
        <v>72</v>
      </c>
      <c r="AE1030" t="s">
        <v>76</v>
      </c>
      <c r="AF1030" t="s">
        <v>4043</v>
      </c>
      <c r="AG1030" t="s">
        <v>77</v>
      </c>
    </row>
    <row r="1031" spans="1:33" x14ac:dyDescent="0.25">
      <c r="A1031" t="str">
        <f>"1205870177"</f>
        <v>1205870177</v>
      </c>
      <c r="B1031" t="str">
        <f>"02777104"</f>
        <v>02777104</v>
      </c>
      <c r="C1031" t="s">
        <v>7474</v>
      </c>
      <c r="D1031" t="s">
        <v>2574</v>
      </c>
      <c r="E1031" t="s">
        <v>2575</v>
      </c>
      <c r="L1031" t="s">
        <v>71</v>
      </c>
      <c r="M1031" t="s">
        <v>72</v>
      </c>
      <c r="R1031" t="s">
        <v>2576</v>
      </c>
      <c r="W1031" t="s">
        <v>2575</v>
      </c>
      <c r="X1031" t="s">
        <v>1320</v>
      </c>
      <c r="Y1031" t="s">
        <v>117</v>
      </c>
      <c r="Z1031" t="s">
        <v>73</v>
      </c>
      <c r="AA1031" t="str">
        <f>"14215-1145"</f>
        <v>14215-1145</v>
      </c>
      <c r="AB1031" t="s">
        <v>74</v>
      </c>
      <c r="AC1031" t="s">
        <v>75</v>
      </c>
      <c r="AD1031" t="s">
        <v>72</v>
      </c>
      <c r="AE1031" t="s">
        <v>76</v>
      </c>
      <c r="AF1031" t="s">
        <v>3974</v>
      </c>
      <c r="AG1031" t="s">
        <v>77</v>
      </c>
    </row>
    <row r="1032" spans="1:33" x14ac:dyDescent="0.25">
      <c r="A1032" t="str">
        <f>"1407850886"</f>
        <v>1407850886</v>
      </c>
      <c r="B1032" t="str">
        <f>"01275947"</f>
        <v>01275947</v>
      </c>
      <c r="C1032" t="s">
        <v>7475</v>
      </c>
      <c r="D1032" t="s">
        <v>7476</v>
      </c>
      <c r="E1032" t="s">
        <v>7477</v>
      </c>
      <c r="L1032" t="s">
        <v>79</v>
      </c>
      <c r="M1032" t="s">
        <v>72</v>
      </c>
      <c r="R1032" t="s">
        <v>7478</v>
      </c>
      <c r="W1032" t="s">
        <v>7477</v>
      </c>
      <c r="X1032" t="s">
        <v>7479</v>
      </c>
      <c r="Y1032" t="s">
        <v>1351</v>
      </c>
      <c r="Z1032" t="s">
        <v>73</v>
      </c>
      <c r="AA1032" t="str">
        <f>"14111"</f>
        <v>14111</v>
      </c>
      <c r="AB1032" t="s">
        <v>74</v>
      </c>
      <c r="AC1032" t="s">
        <v>75</v>
      </c>
      <c r="AD1032" t="s">
        <v>72</v>
      </c>
      <c r="AE1032" t="s">
        <v>76</v>
      </c>
      <c r="AF1032" t="s">
        <v>3961</v>
      </c>
      <c r="AG1032" t="s">
        <v>77</v>
      </c>
    </row>
    <row r="1033" spans="1:33" x14ac:dyDescent="0.25">
      <c r="A1033" t="str">
        <f>"1669484440"</f>
        <v>1669484440</v>
      </c>
      <c r="B1033" t="str">
        <f>"02626093"</f>
        <v>02626093</v>
      </c>
      <c r="C1033" t="s">
        <v>7480</v>
      </c>
      <c r="D1033" t="s">
        <v>3149</v>
      </c>
      <c r="E1033" t="s">
        <v>3150</v>
      </c>
      <c r="L1033" t="s">
        <v>79</v>
      </c>
      <c r="M1033" t="s">
        <v>72</v>
      </c>
      <c r="R1033" t="s">
        <v>3151</v>
      </c>
      <c r="W1033" t="s">
        <v>3150</v>
      </c>
      <c r="X1033" t="s">
        <v>3150</v>
      </c>
      <c r="Y1033" t="s">
        <v>221</v>
      </c>
      <c r="Z1033" t="s">
        <v>73</v>
      </c>
      <c r="AA1033" t="str">
        <f>"14221-1729"</f>
        <v>14221-1729</v>
      </c>
      <c r="AB1033" t="s">
        <v>74</v>
      </c>
      <c r="AC1033" t="s">
        <v>75</v>
      </c>
      <c r="AD1033" t="s">
        <v>72</v>
      </c>
      <c r="AE1033" t="s">
        <v>76</v>
      </c>
      <c r="AF1033" t="s">
        <v>3974</v>
      </c>
      <c r="AG1033" t="s">
        <v>77</v>
      </c>
    </row>
    <row r="1034" spans="1:33" x14ac:dyDescent="0.25">
      <c r="A1034" t="str">
        <f>"1124284443"</f>
        <v>1124284443</v>
      </c>
      <c r="B1034" t="str">
        <f>"03060208"</f>
        <v>03060208</v>
      </c>
      <c r="C1034" t="s">
        <v>7481</v>
      </c>
      <c r="D1034" t="s">
        <v>7482</v>
      </c>
      <c r="E1034" t="s">
        <v>7483</v>
      </c>
      <c r="L1034" t="s">
        <v>71</v>
      </c>
      <c r="M1034" t="s">
        <v>72</v>
      </c>
      <c r="R1034" t="s">
        <v>7484</v>
      </c>
      <c r="W1034" t="s">
        <v>7485</v>
      </c>
      <c r="X1034" t="s">
        <v>1529</v>
      </c>
      <c r="Y1034" t="s">
        <v>221</v>
      </c>
      <c r="Z1034" t="s">
        <v>73</v>
      </c>
      <c r="AA1034" t="str">
        <f>"14221-7717"</f>
        <v>14221-7717</v>
      </c>
      <c r="AB1034" t="s">
        <v>74</v>
      </c>
      <c r="AC1034" t="s">
        <v>75</v>
      </c>
      <c r="AD1034" t="s">
        <v>72</v>
      </c>
      <c r="AE1034" t="s">
        <v>76</v>
      </c>
      <c r="AF1034" t="s">
        <v>3974</v>
      </c>
      <c r="AG1034" t="s">
        <v>77</v>
      </c>
    </row>
    <row r="1035" spans="1:33" x14ac:dyDescent="0.25">
      <c r="A1035" t="str">
        <f>"1578560397"</f>
        <v>1578560397</v>
      </c>
      <c r="B1035" t="str">
        <f>"02345366"</f>
        <v>02345366</v>
      </c>
      <c r="C1035" t="s">
        <v>7486</v>
      </c>
      <c r="D1035" t="s">
        <v>1098</v>
      </c>
      <c r="E1035" t="s">
        <v>1099</v>
      </c>
      <c r="L1035" t="s">
        <v>79</v>
      </c>
      <c r="M1035" t="s">
        <v>72</v>
      </c>
      <c r="R1035" t="s">
        <v>1100</v>
      </c>
      <c r="W1035" t="s">
        <v>1099</v>
      </c>
      <c r="X1035" t="s">
        <v>752</v>
      </c>
      <c r="Y1035" t="s">
        <v>221</v>
      </c>
      <c r="Z1035" t="s">
        <v>73</v>
      </c>
      <c r="AA1035" t="str">
        <f>"14221-2917"</f>
        <v>14221-2917</v>
      </c>
      <c r="AB1035" t="s">
        <v>74</v>
      </c>
      <c r="AC1035" t="s">
        <v>75</v>
      </c>
      <c r="AD1035" t="s">
        <v>72</v>
      </c>
      <c r="AE1035" t="s">
        <v>76</v>
      </c>
      <c r="AF1035" t="s">
        <v>3974</v>
      </c>
      <c r="AG1035" t="s">
        <v>77</v>
      </c>
    </row>
    <row r="1036" spans="1:33" x14ac:dyDescent="0.25">
      <c r="A1036" t="str">
        <f>"1114912367"</f>
        <v>1114912367</v>
      </c>
      <c r="B1036" t="str">
        <f>"00891832"</f>
        <v>00891832</v>
      </c>
      <c r="C1036" t="s">
        <v>7487</v>
      </c>
      <c r="D1036" t="s">
        <v>7488</v>
      </c>
      <c r="E1036" t="s">
        <v>7489</v>
      </c>
      <c r="G1036" t="s">
        <v>7490</v>
      </c>
      <c r="H1036" t="s">
        <v>7491</v>
      </c>
      <c r="J1036" t="s">
        <v>7492</v>
      </c>
      <c r="L1036" t="s">
        <v>80</v>
      </c>
      <c r="M1036" t="s">
        <v>72</v>
      </c>
      <c r="R1036" t="s">
        <v>7493</v>
      </c>
      <c r="W1036" t="s">
        <v>7489</v>
      </c>
      <c r="X1036" t="s">
        <v>7494</v>
      </c>
      <c r="Y1036" t="s">
        <v>247</v>
      </c>
      <c r="Z1036" t="s">
        <v>73</v>
      </c>
      <c r="AA1036" t="str">
        <f>"14225-4031"</f>
        <v>14225-4031</v>
      </c>
      <c r="AB1036" t="s">
        <v>74</v>
      </c>
      <c r="AC1036" t="s">
        <v>75</v>
      </c>
      <c r="AD1036" t="s">
        <v>72</v>
      </c>
      <c r="AE1036" t="s">
        <v>76</v>
      </c>
      <c r="AF1036" t="s">
        <v>4431</v>
      </c>
      <c r="AG1036" t="s">
        <v>77</v>
      </c>
    </row>
    <row r="1037" spans="1:33" x14ac:dyDescent="0.25">
      <c r="A1037" t="str">
        <f>"1730460593"</f>
        <v>1730460593</v>
      </c>
      <c r="B1037" t="str">
        <f>"03574476"</f>
        <v>03574476</v>
      </c>
      <c r="C1037" t="s">
        <v>7495</v>
      </c>
      <c r="D1037" t="s">
        <v>1653</v>
      </c>
      <c r="E1037" t="s">
        <v>1654</v>
      </c>
      <c r="G1037" t="s">
        <v>7495</v>
      </c>
      <c r="H1037" t="s">
        <v>1655</v>
      </c>
      <c r="L1037" t="s">
        <v>79</v>
      </c>
      <c r="M1037" t="s">
        <v>81</v>
      </c>
      <c r="R1037" t="s">
        <v>1656</v>
      </c>
      <c r="W1037" t="s">
        <v>1654</v>
      </c>
      <c r="X1037" t="s">
        <v>301</v>
      </c>
      <c r="Y1037" t="s">
        <v>117</v>
      </c>
      <c r="Z1037" t="s">
        <v>73</v>
      </c>
      <c r="AA1037" t="str">
        <f>"14214-2648"</f>
        <v>14214-2648</v>
      </c>
      <c r="AB1037" t="s">
        <v>105</v>
      </c>
      <c r="AC1037" t="s">
        <v>75</v>
      </c>
      <c r="AD1037" t="s">
        <v>72</v>
      </c>
      <c r="AE1037" t="s">
        <v>76</v>
      </c>
      <c r="AF1037" t="s">
        <v>4043</v>
      </c>
      <c r="AG1037" t="s">
        <v>77</v>
      </c>
    </row>
    <row r="1038" spans="1:33" x14ac:dyDescent="0.25">
      <c r="A1038" t="str">
        <f>"1750395745"</f>
        <v>1750395745</v>
      </c>
      <c r="B1038" t="str">
        <f>"02911860"</f>
        <v>02911860</v>
      </c>
      <c r="C1038" t="s">
        <v>7496</v>
      </c>
      <c r="D1038" t="s">
        <v>1576</v>
      </c>
      <c r="E1038" t="s">
        <v>1577</v>
      </c>
      <c r="G1038" t="s">
        <v>3952</v>
      </c>
      <c r="H1038" t="s">
        <v>3953</v>
      </c>
      <c r="J1038" t="s">
        <v>3954</v>
      </c>
      <c r="L1038" t="s">
        <v>79</v>
      </c>
      <c r="M1038" t="s">
        <v>72</v>
      </c>
      <c r="R1038" t="s">
        <v>1578</v>
      </c>
      <c r="W1038" t="s">
        <v>1577</v>
      </c>
      <c r="X1038" t="s">
        <v>204</v>
      </c>
      <c r="Y1038" t="s">
        <v>117</v>
      </c>
      <c r="Z1038" t="s">
        <v>73</v>
      </c>
      <c r="AA1038" t="str">
        <f>"14263-0001"</f>
        <v>14263-0001</v>
      </c>
      <c r="AB1038" t="s">
        <v>74</v>
      </c>
      <c r="AC1038" t="s">
        <v>75</v>
      </c>
      <c r="AD1038" t="s">
        <v>72</v>
      </c>
      <c r="AE1038" t="s">
        <v>76</v>
      </c>
      <c r="AF1038" t="s">
        <v>4043</v>
      </c>
      <c r="AG1038" t="s">
        <v>77</v>
      </c>
    </row>
    <row r="1039" spans="1:33" x14ac:dyDescent="0.25">
      <c r="A1039" t="str">
        <f>"1447398755"</f>
        <v>1447398755</v>
      </c>
      <c r="B1039" t="str">
        <f>"01164158"</f>
        <v>01164158</v>
      </c>
      <c r="C1039" t="s">
        <v>7497</v>
      </c>
      <c r="D1039" t="s">
        <v>609</v>
      </c>
      <c r="E1039" t="s">
        <v>610</v>
      </c>
      <c r="G1039" t="s">
        <v>7498</v>
      </c>
      <c r="H1039" t="s">
        <v>611</v>
      </c>
      <c r="J1039" t="s">
        <v>612</v>
      </c>
      <c r="L1039" t="s">
        <v>33</v>
      </c>
      <c r="M1039" t="s">
        <v>81</v>
      </c>
      <c r="R1039" t="s">
        <v>613</v>
      </c>
      <c r="W1039" t="s">
        <v>610</v>
      </c>
      <c r="X1039" t="s">
        <v>614</v>
      </c>
      <c r="Y1039" t="s">
        <v>209</v>
      </c>
      <c r="Z1039" t="s">
        <v>73</v>
      </c>
      <c r="AA1039" t="str">
        <f>"14305-2522"</f>
        <v>14305-2522</v>
      </c>
      <c r="AB1039" t="s">
        <v>88</v>
      </c>
      <c r="AC1039" t="s">
        <v>75</v>
      </c>
      <c r="AD1039" t="s">
        <v>72</v>
      </c>
      <c r="AE1039" t="s">
        <v>76</v>
      </c>
      <c r="AF1039" t="s">
        <v>4059</v>
      </c>
      <c r="AG1039" t="s">
        <v>77</v>
      </c>
    </row>
    <row r="1040" spans="1:33" x14ac:dyDescent="0.25">
      <c r="A1040" t="str">
        <f>"1639138597"</f>
        <v>1639138597</v>
      </c>
      <c r="B1040" t="str">
        <f>"01574923"</f>
        <v>01574923</v>
      </c>
      <c r="C1040" t="s">
        <v>7499</v>
      </c>
      <c r="D1040" t="s">
        <v>7500</v>
      </c>
      <c r="E1040" t="s">
        <v>7501</v>
      </c>
      <c r="G1040" t="s">
        <v>4647</v>
      </c>
      <c r="H1040" t="s">
        <v>2062</v>
      </c>
      <c r="J1040" t="s">
        <v>4648</v>
      </c>
      <c r="L1040" t="s">
        <v>80</v>
      </c>
      <c r="M1040" t="s">
        <v>72</v>
      </c>
      <c r="R1040" t="s">
        <v>7501</v>
      </c>
      <c r="W1040" t="s">
        <v>7501</v>
      </c>
      <c r="X1040" t="s">
        <v>144</v>
      </c>
      <c r="Y1040" t="s">
        <v>114</v>
      </c>
      <c r="Z1040" t="s">
        <v>73</v>
      </c>
      <c r="AA1040" t="str">
        <f>"10467-2401"</f>
        <v>10467-2401</v>
      </c>
      <c r="AB1040" t="s">
        <v>74</v>
      </c>
      <c r="AC1040" t="s">
        <v>75</v>
      </c>
      <c r="AD1040" t="s">
        <v>72</v>
      </c>
      <c r="AE1040" t="s">
        <v>76</v>
      </c>
      <c r="AF1040" t="s">
        <v>3961</v>
      </c>
      <c r="AG1040" t="s">
        <v>77</v>
      </c>
    </row>
    <row r="1041" spans="1:33" x14ac:dyDescent="0.25">
      <c r="A1041" t="str">
        <f>"1518949833"</f>
        <v>1518949833</v>
      </c>
      <c r="B1041" t="str">
        <f>"01300870"</f>
        <v>01300870</v>
      </c>
      <c r="C1041" t="s">
        <v>7502</v>
      </c>
      <c r="D1041" t="s">
        <v>7503</v>
      </c>
      <c r="E1041" t="s">
        <v>7504</v>
      </c>
      <c r="G1041" t="s">
        <v>4739</v>
      </c>
      <c r="H1041" t="s">
        <v>2761</v>
      </c>
      <c r="J1041" t="s">
        <v>4740</v>
      </c>
      <c r="L1041" t="s">
        <v>80</v>
      </c>
      <c r="M1041" t="s">
        <v>72</v>
      </c>
      <c r="R1041" t="s">
        <v>7505</v>
      </c>
      <c r="W1041" t="s">
        <v>7505</v>
      </c>
      <c r="X1041" t="s">
        <v>134</v>
      </c>
      <c r="Y1041" t="s">
        <v>133</v>
      </c>
      <c r="Z1041" t="s">
        <v>73</v>
      </c>
      <c r="AA1041" t="str">
        <f>"11554-1859"</f>
        <v>11554-1859</v>
      </c>
      <c r="AB1041" t="s">
        <v>74</v>
      </c>
      <c r="AC1041" t="s">
        <v>75</v>
      </c>
      <c r="AD1041" t="s">
        <v>72</v>
      </c>
      <c r="AE1041" t="s">
        <v>76</v>
      </c>
      <c r="AF1041" t="s">
        <v>3961</v>
      </c>
      <c r="AG1041" t="s">
        <v>77</v>
      </c>
    </row>
    <row r="1042" spans="1:33" x14ac:dyDescent="0.25">
      <c r="A1042" t="str">
        <f>"1942247945"</f>
        <v>1942247945</v>
      </c>
      <c r="B1042" t="str">
        <f>"02533677"</f>
        <v>02533677</v>
      </c>
      <c r="C1042" t="s">
        <v>7506</v>
      </c>
      <c r="D1042" t="s">
        <v>7507</v>
      </c>
      <c r="E1042" t="s">
        <v>7508</v>
      </c>
      <c r="G1042" t="s">
        <v>5931</v>
      </c>
      <c r="H1042" t="s">
        <v>5932</v>
      </c>
      <c r="J1042" t="s">
        <v>5933</v>
      </c>
      <c r="L1042" t="s">
        <v>79</v>
      </c>
      <c r="M1042" t="s">
        <v>72</v>
      </c>
      <c r="R1042" t="s">
        <v>7509</v>
      </c>
      <c r="W1042" t="s">
        <v>7508</v>
      </c>
      <c r="X1042" t="s">
        <v>1324</v>
      </c>
      <c r="Y1042" t="s">
        <v>221</v>
      </c>
      <c r="Z1042" t="s">
        <v>73</v>
      </c>
      <c r="AA1042" t="str">
        <f>"14221-7800"</f>
        <v>14221-7800</v>
      </c>
      <c r="AB1042" t="s">
        <v>74</v>
      </c>
      <c r="AC1042" t="s">
        <v>75</v>
      </c>
      <c r="AD1042" t="s">
        <v>72</v>
      </c>
      <c r="AE1042" t="s">
        <v>76</v>
      </c>
      <c r="AF1042" t="s">
        <v>3974</v>
      </c>
      <c r="AG1042" t="s">
        <v>77</v>
      </c>
    </row>
    <row r="1043" spans="1:33" x14ac:dyDescent="0.25">
      <c r="A1043" t="str">
        <f>"1114943719"</f>
        <v>1114943719</v>
      </c>
      <c r="B1043" t="str">
        <f>"00620457"</f>
        <v>00620457</v>
      </c>
      <c r="C1043" t="s">
        <v>7510</v>
      </c>
      <c r="D1043" t="s">
        <v>7511</v>
      </c>
      <c r="E1043" t="s">
        <v>7512</v>
      </c>
      <c r="G1043" t="s">
        <v>7513</v>
      </c>
      <c r="H1043" t="s">
        <v>7514</v>
      </c>
      <c r="J1043" t="s">
        <v>7515</v>
      </c>
      <c r="L1043" t="s">
        <v>80</v>
      </c>
      <c r="M1043" t="s">
        <v>72</v>
      </c>
      <c r="R1043" t="s">
        <v>7516</v>
      </c>
      <c r="W1043" t="s">
        <v>7517</v>
      </c>
      <c r="X1043" t="s">
        <v>7518</v>
      </c>
      <c r="Y1043" t="s">
        <v>247</v>
      </c>
      <c r="Z1043" t="s">
        <v>73</v>
      </c>
      <c r="AA1043" t="str">
        <f>"14227-1914"</f>
        <v>14227-1914</v>
      </c>
      <c r="AB1043" t="s">
        <v>74</v>
      </c>
      <c r="AC1043" t="s">
        <v>75</v>
      </c>
      <c r="AD1043" t="s">
        <v>72</v>
      </c>
      <c r="AE1043" t="s">
        <v>76</v>
      </c>
      <c r="AF1043" t="s">
        <v>3961</v>
      </c>
      <c r="AG1043" t="s">
        <v>77</v>
      </c>
    </row>
    <row r="1044" spans="1:33" x14ac:dyDescent="0.25">
      <c r="A1044" t="str">
        <f>"1568436004"</f>
        <v>1568436004</v>
      </c>
      <c r="B1044" t="str">
        <f>"02165277"</f>
        <v>02165277</v>
      </c>
      <c r="C1044" t="s">
        <v>7519</v>
      </c>
      <c r="D1044" t="s">
        <v>626</v>
      </c>
      <c r="E1044" t="s">
        <v>627</v>
      </c>
      <c r="G1044" t="s">
        <v>5609</v>
      </c>
      <c r="H1044" t="s">
        <v>628</v>
      </c>
      <c r="J1044" t="s">
        <v>5610</v>
      </c>
      <c r="L1044" t="s">
        <v>80</v>
      </c>
      <c r="M1044" t="s">
        <v>72</v>
      </c>
      <c r="R1044" t="s">
        <v>629</v>
      </c>
      <c r="W1044" t="s">
        <v>627</v>
      </c>
      <c r="X1044" t="s">
        <v>182</v>
      </c>
      <c r="Y1044" t="s">
        <v>326</v>
      </c>
      <c r="Z1044" t="s">
        <v>73</v>
      </c>
      <c r="AA1044" t="str">
        <f>"14127-1749"</f>
        <v>14127-1749</v>
      </c>
      <c r="AB1044" t="s">
        <v>74</v>
      </c>
      <c r="AC1044" t="s">
        <v>75</v>
      </c>
      <c r="AD1044" t="s">
        <v>72</v>
      </c>
      <c r="AE1044" t="s">
        <v>76</v>
      </c>
      <c r="AF1044" t="s">
        <v>3961</v>
      </c>
      <c r="AG1044" t="s">
        <v>77</v>
      </c>
    </row>
    <row r="1045" spans="1:33" x14ac:dyDescent="0.25">
      <c r="A1045" t="str">
        <f>"1417908419"</f>
        <v>1417908419</v>
      </c>
      <c r="B1045" t="str">
        <f>"00973111"</f>
        <v>00973111</v>
      </c>
      <c r="C1045" t="s">
        <v>7520</v>
      </c>
      <c r="D1045" t="s">
        <v>7521</v>
      </c>
      <c r="E1045" t="s">
        <v>7522</v>
      </c>
      <c r="G1045" t="s">
        <v>7520</v>
      </c>
      <c r="H1045" t="s">
        <v>7523</v>
      </c>
      <c r="J1045" t="s">
        <v>7524</v>
      </c>
      <c r="L1045" t="s">
        <v>80</v>
      </c>
      <c r="M1045" t="s">
        <v>72</v>
      </c>
      <c r="R1045" t="s">
        <v>7525</v>
      </c>
      <c r="W1045" t="s">
        <v>7522</v>
      </c>
      <c r="X1045" t="s">
        <v>7526</v>
      </c>
      <c r="Y1045" t="s">
        <v>3758</v>
      </c>
      <c r="Z1045" t="s">
        <v>73</v>
      </c>
      <c r="AA1045" t="str">
        <f>"14174-1006"</f>
        <v>14174-1006</v>
      </c>
      <c r="AB1045" t="s">
        <v>74</v>
      </c>
      <c r="AC1045" t="s">
        <v>75</v>
      </c>
      <c r="AD1045" t="s">
        <v>72</v>
      </c>
      <c r="AE1045" t="s">
        <v>76</v>
      </c>
      <c r="AF1045" t="s">
        <v>3961</v>
      </c>
      <c r="AG1045" t="s">
        <v>77</v>
      </c>
    </row>
    <row r="1046" spans="1:33" x14ac:dyDescent="0.25">
      <c r="A1046" t="str">
        <f>"1437141991"</f>
        <v>1437141991</v>
      </c>
      <c r="B1046" t="str">
        <f>"00729319"</f>
        <v>00729319</v>
      </c>
      <c r="C1046" t="s">
        <v>7527</v>
      </c>
      <c r="D1046" t="s">
        <v>7528</v>
      </c>
      <c r="E1046" t="s">
        <v>7529</v>
      </c>
      <c r="G1046" t="s">
        <v>7348</v>
      </c>
      <c r="H1046" t="s">
        <v>7349</v>
      </c>
      <c r="J1046" t="s">
        <v>7350</v>
      </c>
      <c r="L1046" t="s">
        <v>79</v>
      </c>
      <c r="M1046" t="s">
        <v>72</v>
      </c>
      <c r="R1046" t="s">
        <v>7530</v>
      </c>
      <c r="W1046" t="s">
        <v>7531</v>
      </c>
      <c r="X1046" t="s">
        <v>1684</v>
      </c>
      <c r="Y1046" t="s">
        <v>247</v>
      </c>
      <c r="Z1046" t="s">
        <v>73</v>
      </c>
      <c r="AA1046" t="str">
        <f>"14225-4031"</f>
        <v>14225-4031</v>
      </c>
      <c r="AB1046" t="s">
        <v>74</v>
      </c>
      <c r="AC1046" t="s">
        <v>75</v>
      </c>
      <c r="AD1046" t="s">
        <v>72</v>
      </c>
      <c r="AE1046" t="s">
        <v>76</v>
      </c>
      <c r="AF1046" t="s">
        <v>3974</v>
      </c>
      <c r="AG1046" t="s">
        <v>77</v>
      </c>
    </row>
    <row r="1047" spans="1:33" x14ac:dyDescent="0.25">
      <c r="A1047" t="str">
        <f>"1598760944"</f>
        <v>1598760944</v>
      </c>
      <c r="B1047" t="str">
        <f>"00643201"</f>
        <v>00643201</v>
      </c>
      <c r="C1047" t="s">
        <v>7532</v>
      </c>
      <c r="D1047" t="s">
        <v>7533</v>
      </c>
      <c r="E1047" t="s">
        <v>7534</v>
      </c>
      <c r="G1047" t="s">
        <v>6081</v>
      </c>
      <c r="H1047" t="s">
        <v>7535</v>
      </c>
      <c r="J1047" t="s">
        <v>7536</v>
      </c>
      <c r="L1047" t="s">
        <v>79</v>
      </c>
      <c r="M1047" t="s">
        <v>72</v>
      </c>
      <c r="R1047" t="s">
        <v>7537</v>
      </c>
      <c r="W1047" t="s">
        <v>7534</v>
      </c>
      <c r="X1047" t="s">
        <v>7538</v>
      </c>
      <c r="Y1047" t="s">
        <v>117</v>
      </c>
      <c r="Z1047" t="s">
        <v>73</v>
      </c>
      <c r="AA1047" t="str">
        <f>"14206-2317"</f>
        <v>14206-2317</v>
      </c>
      <c r="AB1047" t="s">
        <v>74</v>
      </c>
      <c r="AC1047" t="s">
        <v>75</v>
      </c>
      <c r="AD1047" t="s">
        <v>72</v>
      </c>
      <c r="AE1047" t="s">
        <v>76</v>
      </c>
      <c r="AF1047" t="s">
        <v>3974</v>
      </c>
      <c r="AG1047" t="s">
        <v>77</v>
      </c>
    </row>
    <row r="1048" spans="1:33" x14ac:dyDescent="0.25">
      <c r="A1048" t="str">
        <f>"1134153596"</f>
        <v>1134153596</v>
      </c>
      <c r="B1048" t="str">
        <f>"02364249"</f>
        <v>02364249</v>
      </c>
      <c r="C1048" t="s">
        <v>7539</v>
      </c>
      <c r="D1048" t="s">
        <v>7540</v>
      </c>
      <c r="E1048" t="s">
        <v>7541</v>
      </c>
      <c r="G1048" t="s">
        <v>4066</v>
      </c>
      <c r="H1048" t="s">
        <v>4067</v>
      </c>
      <c r="J1048" t="s">
        <v>4068</v>
      </c>
      <c r="L1048" t="s">
        <v>71</v>
      </c>
      <c r="M1048" t="s">
        <v>72</v>
      </c>
      <c r="R1048" t="s">
        <v>7542</v>
      </c>
      <c r="W1048" t="s">
        <v>7541</v>
      </c>
      <c r="X1048" t="s">
        <v>234</v>
      </c>
      <c r="Y1048" t="s">
        <v>117</v>
      </c>
      <c r="Z1048" t="s">
        <v>73</v>
      </c>
      <c r="AA1048" t="str">
        <f>"14220-2039"</f>
        <v>14220-2039</v>
      </c>
      <c r="AB1048" t="s">
        <v>74</v>
      </c>
      <c r="AC1048" t="s">
        <v>75</v>
      </c>
      <c r="AD1048" t="s">
        <v>72</v>
      </c>
      <c r="AE1048" t="s">
        <v>76</v>
      </c>
      <c r="AF1048" t="s">
        <v>3974</v>
      </c>
      <c r="AG1048" t="s">
        <v>77</v>
      </c>
    </row>
    <row r="1049" spans="1:33" x14ac:dyDescent="0.25">
      <c r="A1049" t="str">
        <f>"1366407173"</f>
        <v>1366407173</v>
      </c>
      <c r="B1049" t="str">
        <f>"01419410"</f>
        <v>01419410</v>
      </c>
      <c r="C1049" t="s">
        <v>7543</v>
      </c>
      <c r="D1049" t="s">
        <v>2660</v>
      </c>
      <c r="E1049" t="s">
        <v>2661</v>
      </c>
      <c r="G1049" t="s">
        <v>7543</v>
      </c>
      <c r="H1049" t="s">
        <v>1131</v>
      </c>
      <c r="J1049" t="s">
        <v>7544</v>
      </c>
      <c r="L1049" t="s">
        <v>79</v>
      </c>
      <c r="M1049" t="s">
        <v>72</v>
      </c>
      <c r="R1049" t="s">
        <v>2662</v>
      </c>
      <c r="W1049" t="s">
        <v>2661</v>
      </c>
      <c r="X1049" t="s">
        <v>546</v>
      </c>
      <c r="Y1049" t="s">
        <v>117</v>
      </c>
      <c r="Z1049" t="s">
        <v>73</v>
      </c>
      <c r="AA1049" t="str">
        <f>"14203-1109"</f>
        <v>14203-1109</v>
      </c>
      <c r="AB1049" t="s">
        <v>74</v>
      </c>
      <c r="AC1049" t="s">
        <v>75</v>
      </c>
      <c r="AD1049" t="s">
        <v>72</v>
      </c>
      <c r="AE1049" t="s">
        <v>76</v>
      </c>
      <c r="AG1049" t="s">
        <v>77</v>
      </c>
    </row>
    <row r="1050" spans="1:33" x14ac:dyDescent="0.25">
      <c r="A1050" t="str">
        <f>"1780637694"</f>
        <v>1780637694</v>
      </c>
      <c r="B1050" t="str">
        <f>"01090422"</f>
        <v>01090422</v>
      </c>
      <c r="C1050" t="s">
        <v>7545</v>
      </c>
      <c r="D1050" t="s">
        <v>7546</v>
      </c>
      <c r="E1050" t="s">
        <v>7547</v>
      </c>
      <c r="G1050" t="s">
        <v>7548</v>
      </c>
      <c r="H1050" t="s">
        <v>7549</v>
      </c>
      <c r="J1050" t="s">
        <v>7550</v>
      </c>
      <c r="L1050" t="s">
        <v>71</v>
      </c>
      <c r="M1050" t="s">
        <v>72</v>
      </c>
      <c r="R1050" t="s">
        <v>7551</v>
      </c>
      <c r="W1050" t="s">
        <v>7547</v>
      </c>
      <c r="X1050" t="s">
        <v>7552</v>
      </c>
      <c r="Y1050" t="s">
        <v>804</v>
      </c>
      <c r="Z1050" t="s">
        <v>73</v>
      </c>
      <c r="AA1050" t="str">
        <f>"14226-4722"</f>
        <v>14226-4722</v>
      </c>
      <c r="AB1050" t="s">
        <v>74</v>
      </c>
      <c r="AC1050" t="s">
        <v>75</v>
      </c>
      <c r="AD1050" t="s">
        <v>72</v>
      </c>
      <c r="AE1050" t="s">
        <v>76</v>
      </c>
      <c r="AF1050" t="s">
        <v>3974</v>
      </c>
      <c r="AG1050" t="s">
        <v>77</v>
      </c>
    </row>
    <row r="1051" spans="1:33" x14ac:dyDescent="0.25">
      <c r="A1051" t="str">
        <f>"1902851256"</f>
        <v>1902851256</v>
      </c>
      <c r="B1051" t="str">
        <f>"01059594"</f>
        <v>01059594</v>
      </c>
      <c r="C1051" t="s">
        <v>7553</v>
      </c>
      <c r="D1051" t="s">
        <v>7554</v>
      </c>
      <c r="E1051" t="s">
        <v>7555</v>
      </c>
      <c r="G1051" t="s">
        <v>3969</v>
      </c>
      <c r="H1051" t="s">
        <v>7556</v>
      </c>
      <c r="J1051" t="s">
        <v>7557</v>
      </c>
      <c r="L1051" t="s">
        <v>79</v>
      </c>
      <c r="M1051" t="s">
        <v>72</v>
      </c>
      <c r="R1051" t="s">
        <v>7558</v>
      </c>
      <c r="W1051" t="s">
        <v>7555</v>
      </c>
      <c r="X1051" t="s">
        <v>7559</v>
      </c>
      <c r="Y1051" t="s">
        <v>221</v>
      </c>
      <c r="Z1051" t="s">
        <v>73</v>
      </c>
      <c r="AA1051" t="str">
        <f>"14221-3698"</f>
        <v>14221-3698</v>
      </c>
      <c r="AB1051" t="s">
        <v>74</v>
      </c>
      <c r="AC1051" t="s">
        <v>75</v>
      </c>
      <c r="AD1051" t="s">
        <v>72</v>
      </c>
      <c r="AE1051" t="s">
        <v>76</v>
      </c>
      <c r="AF1051" t="s">
        <v>3974</v>
      </c>
      <c r="AG1051" t="s">
        <v>77</v>
      </c>
    </row>
    <row r="1052" spans="1:33" x14ac:dyDescent="0.25">
      <c r="A1052" t="str">
        <f>"1932153004"</f>
        <v>1932153004</v>
      </c>
      <c r="B1052" t="str">
        <f>"02093630"</f>
        <v>02093630</v>
      </c>
      <c r="C1052" t="s">
        <v>7560</v>
      </c>
      <c r="D1052" t="s">
        <v>3435</v>
      </c>
      <c r="E1052" t="s">
        <v>3436</v>
      </c>
      <c r="G1052" t="s">
        <v>7561</v>
      </c>
      <c r="H1052" t="s">
        <v>3362</v>
      </c>
      <c r="J1052" t="s">
        <v>7562</v>
      </c>
      <c r="L1052" t="s">
        <v>96</v>
      </c>
      <c r="M1052" t="s">
        <v>72</v>
      </c>
      <c r="R1052" t="s">
        <v>3437</v>
      </c>
      <c r="W1052" t="s">
        <v>3437</v>
      </c>
      <c r="X1052" t="s">
        <v>1280</v>
      </c>
      <c r="Y1052" t="s">
        <v>221</v>
      </c>
      <c r="Z1052" t="s">
        <v>73</v>
      </c>
      <c r="AA1052" t="str">
        <f>"14221-2320"</f>
        <v>14221-2320</v>
      </c>
      <c r="AB1052" t="s">
        <v>74</v>
      </c>
      <c r="AC1052" t="s">
        <v>75</v>
      </c>
      <c r="AD1052" t="s">
        <v>72</v>
      </c>
      <c r="AE1052" t="s">
        <v>76</v>
      </c>
      <c r="AG1052" t="s">
        <v>77</v>
      </c>
    </row>
    <row r="1053" spans="1:33" x14ac:dyDescent="0.25">
      <c r="A1053" t="str">
        <f>"1255317343"</f>
        <v>1255317343</v>
      </c>
      <c r="B1053" t="str">
        <f>"00705862"</f>
        <v>00705862</v>
      </c>
      <c r="C1053" t="s">
        <v>7563</v>
      </c>
      <c r="D1053" t="s">
        <v>2079</v>
      </c>
      <c r="E1053" t="s">
        <v>2080</v>
      </c>
      <c r="G1053" t="s">
        <v>4014</v>
      </c>
      <c r="H1053" t="s">
        <v>750</v>
      </c>
      <c r="J1053" t="s">
        <v>4015</v>
      </c>
      <c r="L1053" t="s">
        <v>79</v>
      </c>
      <c r="M1053" t="s">
        <v>72</v>
      </c>
      <c r="R1053" t="s">
        <v>2081</v>
      </c>
      <c r="W1053" t="s">
        <v>2080</v>
      </c>
      <c r="X1053" t="s">
        <v>752</v>
      </c>
      <c r="Y1053" t="s">
        <v>221</v>
      </c>
      <c r="Z1053" t="s">
        <v>73</v>
      </c>
      <c r="AA1053" t="str">
        <f>"14221-2917"</f>
        <v>14221-2917</v>
      </c>
      <c r="AB1053" t="s">
        <v>74</v>
      </c>
      <c r="AC1053" t="s">
        <v>75</v>
      </c>
      <c r="AD1053" t="s">
        <v>72</v>
      </c>
      <c r="AE1053" t="s">
        <v>76</v>
      </c>
      <c r="AF1053" t="s">
        <v>3974</v>
      </c>
      <c r="AG1053" t="s">
        <v>77</v>
      </c>
    </row>
    <row r="1054" spans="1:33" x14ac:dyDescent="0.25">
      <c r="A1054" t="str">
        <f>"1437140423"</f>
        <v>1437140423</v>
      </c>
      <c r="B1054" t="str">
        <f>"02651650"</f>
        <v>02651650</v>
      </c>
      <c r="C1054" t="s">
        <v>7564</v>
      </c>
      <c r="D1054" t="s">
        <v>7565</v>
      </c>
      <c r="E1054" t="s">
        <v>7566</v>
      </c>
      <c r="G1054" t="s">
        <v>4797</v>
      </c>
      <c r="H1054" t="s">
        <v>4798</v>
      </c>
      <c r="I1054">
        <v>104</v>
      </c>
      <c r="J1054" t="s">
        <v>4799</v>
      </c>
      <c r="L1054" t="s">
        <v>79</v>
      </c>
      <c r="M1054" t="s">
        <v>72</v>
      </c>
      <c r="R1054" t="s">
        <v>7567</v>
      </c>
      <c r="W1054" t="s">
        <v>7566</v>
      </c>
      <c r="X1054" t="s">
        <v>7568</v>
      </c>
      <c r="Y1054" t="s">
        <v>242</v>
      </c>
      <c r="Z1054" t="s">
        <v>73</v>
      </c>
      <c r="AA1054" t="str">
        <f>"14701-2514"</f>
        <v>14701-2514</v>
      </c>
      <c r="AB1054" t="s">
        <v>74</v>
      </c>
      <c r="AC1054" t="s">
        <v>75</v>
      </c>
      <c r="AD1054" t="s">
        <v>72</v>
      </c>
      <c r="AE1054" t="s">
        <v>76</v>
      </c>
      <c r="AF1054" t="s">
        <v>4049</v>
      </c>
      <c r="AG1054" t="s">
        <v>77</v>
      </c>
    </row>
    <row r="1055" spans="1:33" x14ac:dyDescent="0.25">
      <c r="C1055" t="s">
        <v>7569</v>
      </c>
      <c r="G1055" t="s">
        <v>7570</v>
      </c>
      <c r="H1055" t="s">
        <v>7571</v>
      </c>
      <c r="J1055" t="s">
        <v>7572</v>
      </c>
      <c r="K1055" t="s">
        <v>89</v>
      </c>
      <c r="L1055" t="s">
        <v>90</v>
      </c>
      <c r="M1055" t="s">
        <v>72</v>
      </c>
      <c r="N1055" t="s">
        <v>7573</v>
      </c>
      <c r="O1055" t="s">
        <v>1101</v>
      </c>
      <c r="P1055" t="s">
        <v>73</v>
      </c>
      <c r="Q1055" t="str">
        <f>"14214"</f>
        <v>14214</v>
      </c>
      <c r="AC1055" t="s">
        <v>75</v>
      </c>
      <c r="AD1055" t="s">
        <v>72</v>
      </c>
      <c r="AE1055" t="s">
        <v>91</v>
      </c>
      <c r="AF1055" t="s">
        <v>4059</v>
      </c>
      <c r="AG1055" t="s">
        <v>77</v>
      </c>
    </row>
    <row r="1056" spans="1:33" x14ac:dyDescent="0.25">
      <c r="A1056" t="str">
        <f>"1629063235"</f>
        <v>1629063235</v>
      </c>
      <c r="B1056" t="str">
        <f>"01977417"</f>
        <v>01977417</v>
      </c>
      <c r="C1056" t="s">
        <v>7574</v>
      </c>
      <c r="D1056" t="s">
        <v>3051</v>
      </c>
      <c r="E1056" t="s">
        <v>3052</v>
      </c>
      <c r="G1056" t="s">
        <v>4739</v>
      </c>
      <c r="H1056" t="s">
        <v>2761</v>
      </c>
      <c r="J1056" t="s">
        <v>4740</v>
      </c>
      <c r="L1056" t="s">
        <v>71</v>
      </c>
      <c r="M1056" t="s">
        <v>72</v>
      </c>
      <c r="R1056" t="s">
        <v>3053</v>
      </c>
      <c r="W1056" t="s">
        <v>3052</v>
      </c>
      <c r="X1056" t="s">
        <v>3054</v>
      </c>
      <c r="Y1056" t="s">
        <v>1093</v>
      </c>
      <c r="Z1056" t="s">
        <v>73</v>
      </c>
      <c r="AA1056" t="str">
        <f>"14052-2540"</f>
        <v>14052-2540</v>
      </c>
      <c r="AB1056" t="s">
        <v>74</v>
      </c>
      <c r="AC1056" t="s">
        <v>75</v>
      </c>
      <c r="AD1056" t="s">
        <v>72</v>
      </c>
      <c r="AE1056" t="s">
        <v>76</v>
      </c>
      <c r="AF1056" t="s">
        <v>3974</v>
      </c>
      <c r="AG1056" t="s">
        <v>77</v>
      </c>
    </row>
    <row r="1057" spans="1:33" x14ac:dyDescent="0.25">
      <c r="A1057" t="str">
        <f>"1306800552"</f>
        <v>1306800552</v>
      </c>
      <c r="B1057" t="str">
        <f>"03221267"</f>
        <v>03221267</v>
      </c>
      <c r="C1057" t="s">
        <v>7575</v>
      </c>
      <c r="D1057" t="s">
        <v>3200</v>
      </c>
      <c r="E1057" t="s">
        <v>3201</v>
      </c>
      <c r="G1057" t="s">
        <v>4017</v>
      </c>
      <c r="H1057" t="s">
        <v>597</v>
      </c>
      <c r="J1057" t="s">
        <v>4018</v>
      </c>
      <c r="L1057" t="s">
        <v>71</v>
      </c>
      <c r="M1057" t="s">
        <v>72</v>
      </c>
      <c r="R1057" t="s">
        <v>3202</v>
      </c>
      <c r="W1057" t="s">
        <v>3201</v>
      </c>
      <c r="X1057" t="s">
        <v>246</v>
      </c>
      <c r="Y1057" t="s">
        <v>247</v>
      </c>
      <c r="Z1057" t="s">
        <v>73</v>
      </c>
      <c r="AA1057" t="str">
        <f>"14225-4018"</f>
        <v>14225-4018</v>
      </c>
      <c r="AB1057" t="s">
        <v>74</v>
      </c>
      <c r="AC1057" t="s">
        <v>75</v>
      </c>
      <c r="AD1057" t="s">
        <v>72</v>
      </c>
      <c r="AE1057" t="s">
        <v>76</v>
      </c>
      <c r="AF1057" t="s">
        <v>3974</v>
      </c>
      <c r="AG1057" t="s">
        <v>77</v>
      </c>
    </row>
    <row r="1058" spans="1:33" x14ac:dyDescent="0.25">
      <c r="A1058" t="str">
        <f>"1770577330"</f>
        <v>1770577330</v>
      </c>
      <c r="B1058" t="str">
        <f>"02591862"</f>
        <v>02591862</v>
      </c>
      <c r="C1058" t="s">
        <v>7576</v>
      </c>
      <c r="D1058" t="s">
        <v>777</v>
      </c>
      <c r="E1058" t="s">
        <v>778</v>
      </c>
      <c r="G1058" t="s">
        <v>5357</v>
      </c>
      <c r="H1058" t="s">
        <v>779</v>
      </c>
      <c r="J1058" t="s">
        <v>5358</v>
      </c>
      <c r="L1058" t="s">
        <v>71</v>
      </c>
      <c r="M1058" t="s">
        <v>72</v>
      </c>
      <c r="R1058" t="s">
        <v>780</v>
      </c>
      <c r="W1058" t="s">
        <v>778</v>
      </c>
      <c r="X1058" t="s">
        <v>156</v>
      </c>
      <c r="Y1058" t="s">
        <v>87</v>
      </c>
      <c r="Z1058" t="s">
        <v>73</v>
      </c>
      <c r="AA1058" t="str">
        <f>"10029-6501"</f>
        <v>10029-6501</v>
      </c>
      <c r="AB1058" t="s">
        <v>74</v>
      </c>
      <c r="AC1058" t="s">
        <v>75</v>
      </c>
      <c r="AD1058" t="s">
        <v>72</v>
      </c>
      <c r="AE1058" t="s">
        <v>76</v>
      </c>
      <c r="AF1058" t="s">
        <v>3974</v>
      </c>
      <c r="AG1058" t="s">
        <v>77</v>
      </c>
    </row>
    <row r="1059" spans="1:33" x14ac:dyDescent="0.25">
      <c r="A1059" t="str">
        <f>"1134305378"</f>
        <v>1134305378</v>
      </c>
      <c r="B1059" t="str">
        <f>"02740985"</f>
        <v>02740985</v>
      </c>
      <c r="C1059" t="s">
        <v>7577</v>
      </c>
      <c r="D1059" t="s">
        <v>2197</v>
      </c>
      <c r="E1059" t="s">
        <v>2198</v>
      </c>
      <c r="L1059" t="s">
        <v>71</v>
      </c>
      <c r="M1059" t="s">
        <v>72</v>
      </c>
      <c r="R1059" t="s">
        <v>2199</v>
      </c>
      <c r="W1059" t="s">
        <v>2198</v>
      </c>
      <c r="X1059" t="s">
        <v>2200</v>
      </c>
      <c r="Y1059" t="s">
        <v>247</v>
      </c>
      <c r="Z1059" t="s">
        <v>73</v>
      </c>
      <c r="AA1059" t="str">
        <f>"14227-2234"</f>
        <v>14227-2234</v>
      </c>
      <c r="AB1059" t="s">
        <v>74</v>
      </c>
      <c r="AC1059" t="s">
        <v>75</v>
      </c>
      <c r="AD1059" t="s">
        <v>72</v>
      </c>
      <c r="AE1059" t="s">
        <v>76</v>
      </c>
      <c r="AF1059" t="s">
        <v>4043</v>
      </c>
      <c r="AG1059" t="s">
        <v>77</v>
      </c>
    </row>
    <row r="1060" spans="1:33" x14ac:dyDescent="0.25">
      <c r="A1060" t="str">
        <f>"1710175971"</f>
        <v>1710175971</v>
      </c>
      <c r="B1060" t="str">
        <f>"03082253"</f>
        <v>03082253</v>
      </c>
      <c r="C1060" t="s">
        <v>7578</v>
      </c>
      <c r="D1060" t="s">
        <v>1021</v>
      </c>
      <c r="E1060" t="s">
        <v>1022</v>
      </c>
      <c r="L1060" t="s">
        <v>71</v>
      </c>
      <c r="M1060" t="s">
        <v>72</v>
      </c>
      <c r="R1060" t="s">
        <v>1024</v>
      </c>
      <c r="W1060" t="s">
        <v>1025</v>
      </c>
      <c r="X1060" t="s">
        <v>391</v>
      </c>
      <c r="Y1060" t="s">
        <v>392</v>
      </c>
      <c r="Z1060" t="s">
        <v>73</v>
      </c>
      <c r="AA1060" t="str">
        <f>"14120-6150"</f>
        <v>14120-6150</v>
      </c>
      <c r="AB1060" t="s">
        <v>74</v>
      </c>
      <c r="AC1060" t="s">
        <v>75</v>
      </c>
      <c r="AD1060" t="s">
        <v>72</v>
      </c>
      <c r="AE1060" t="s">
        <v>76</v>
      </c>
      <c r="AF1060" t="s">
        <v>3974</v>
      </c>
      <c r="AG1060" t="s">
        <v>77</v>
      </c>
    </row>
    <row r="1061" spans="1:33" x14ac:dyDescent="0.25">
      <c r="A1061" t="str">
        <f>"1629268909"</f>
        <v>1629268909</v>
      </c>
      <c r="B1061" t="str">
        <f>"02911659"</f>
        <v>02911659</v>
      </c>
      <c r="C1061" t="s">
        <v>7579</v>
      </c>
      <c r="D1061" t="s">
        <v>3065</v>
      </c>
      <c r="E1061" t="s">
        <v>3066</v>
      </c>
      <c r="L1061" t="s">
        <v>79</v>
      </c>
      <c r="M1061" t="s">
        <v>72</v>
      </c>
      <c r="R1061" t="s">
        <v>3067</v>
      </c>
      <c r="W1061" t="s">
        <v>3068</v>
      </c>
      <c r="X1061" t="s">
        <v>2581</v>
      </c>
      <c r="Y1061" t="s">
        <v>1079</v>
      </c>
      <c r="Z1061" t="s">
        <v>73</v>
      </c>
      <c r="AA1061" t="str">
        <f>"14075-3762"</f>
        <v>14075-3762</v>
      </c>
      <c r="AB1061" t="s">
        <v>74</v>
      </c>
      <c r="AC1061" t="s">
        <v>75</v>
      </c>
      <c r="AD1061" t="s">
        <v>72</v>
      </c>
      <c r="AE1061" t="s">
        <v>76</v>
      </c>
      <c r="AF1061" t="s">
        <v>3961</v>
      </c>
      <c r="AG1061" t="s">
        <v>77</v>
      </c>
    </row>
    <row r="1062" spans="1:33" x14ac:dyDescent="0.25">
      <c r="A1062" t="str">
        <f>"1710921200"</f>
        <v>1710921200</v>
      </c>
      <c r="B1062" t="str">
        <f>"02422466"</f>
        <v>02422466</v>
      </c>
      <c r="C1062" t="s">
        <v>7580</v>
      </c>
      <c r="D1062" t="s">
        <v>7581</v>
      </c>
      <c r="E1062" t="s">
        <v>7582</v>
      </c>
      <c r="L1062" t="s">
        <v>79</v>
      </c>
      <c r="M1062" t="s">
        <v>72</v>
      </c>
      <c r="R1062" t="s">
        <v>7583</v>
      </c>
      <c r="W1062" t="s">
        <v>7582</v>
      </c>
      <c r="X1062" t="s">
        <v>3692</v>
      </c>
      <c r="Y1062" t="s">
        <v>436</v>
      </c>
      <c r="Z1062" t="s">
        <v>73</v>
      </c>
      <c r="AA1062" t="str">
        <f>"14217-1332"</f>
        <v>14217-1332</v>
      </c>
      <c r="AB1062" t="s">
        <v>74</v>
      </c>
      <c r="AC1062" t="s">
        <v>75</v>
      </c>
      <c r="AD1062" t="s">
        <v>72</v>
      </c>
      <c r="AE1062" t="s">
        <v>76</v>
      </c>
      <c r="AF1062" t="s">
        <v>3961</v>
      </c>
      <c r="AG1062" t="s">
        <v>77</v>
      </c>
    </row>
    <row r="1063" spans="1:33" x14ac:dyDescent="0.25">
      <c r="A1063" t="str">
        <f>"1225088180"</f>
        <v>1225088180</v>
      </c>
      <c r="B1063" t="str">
        <f>"01806940"</f>
        <v>01806940</v>
      </c>
      <c r="C1063" t="s">
        <v>7584</v>
      </c>
      <c r="D1063" t="s">
        <v>7585</v>
      </c>
      <c r="E1063" t="s">
        <v>7586</v>
      </c>
      <c r="L1063" t="s">
        <v>79</v>
      </c>
      <c r="M1063" t="s">
        <v>72</v>
      </c>
      <c r="R1063" t="s">
        <v>7586</v>
      </c>
      <c r="W1063" t="s">
        <v>7586</v>
      </c>
      <c r="X1063" t="s">
        <v>1518</v>
      </c>
      <c r="Y1063" t="s">
        <v>117</v>
      </c>
      <c r="Z1063" t="s">
        <v>73</v>
      </c>
      <c r="AA1063" t="str">
        <f>"14215-3021"</f>
        <v>14215-3021</v>
      </c>
      <c r="AB1063" t="s">
        <v>74</v>
      </c>
      <c r="AC1063" t="s">
        <v>75</v>
      </c>
      <c r="AD1063" t="s">
        <v>72</v>
      </c>
      <c r="AE1063" t="s">
        <v>76</v>
      </c>
      <c r="AF1063" t="s">
        <v>3961</v>
      </c>
      <c r="AG1063" t="s">
        <v>77</v>
      </c>
    </row>
    <row r="1064" spans="1:33" x14ac:dyDescent="0.25">
      <c r="A1064" t="str">
        <f>"1831187574"</f>
        <v>1831187574</v>
      </c>
      <c r="B1064" t="str">
        <f>"01963482"</f>
        <v>01963482</v>
      </c>
      <c r="C1064" t="s">
        <v>7587</v>
      </c>
      <c r="D1064" t="s">
        <v>7588</v>
      </c>
      <c r="E1064" t="s">
        <v>7589</v>
      </c>
      <c r="L1064" t="s">
        <v>80</v>
      </c>
      <c r="M1064" t="s">
        <v>72</v>
      </c>
      <c r="R1064" t="s">
        <v>7590</v>
      </c>
      <c r="W1064" t="s">
        <v>7589</v>
      </c>
      <c r="X1064" t="s">
        <v>7009</v>
      </c>
      <c r="Y1064" t="s">
        <v>479</v>
      </c>
      <c r="Z1064" t="s">
        <v>73</v>
      </c>
      <c r="AA1064" t="str">
        <f>"14141-1244"</f>
        <v>14141-1244</v>
      </c>
      <c r="AB1064" t="s">
        <v>74</v>
      </c>
      <c r="AC1064" t="s">
        <v>75</v>
      </c>
      <c r="AD1064" t="s">
        <v>72</v>
      </c>
      <c r="AE1064" t="s">
        <v>76</v>
      </c>
      <c r="AF1064" t="s">
        <v>4431</v>
      </c>
      <c r="AG1064" t="s">
        <v>77</v>
      </c>
    </row>
    <row r="1065" spans="1:33" x14ac:dyDescent="0.25">
      <c r="A1065" t="str">
        <f>"1689825929"</f>
        <v>1689825929</v>
      </c>
      <c r="B1065" t="str">
        <f>"03206360"</f>
        <v>03206360</v>
      </c>
      <c r="C1065" t="s">
        <v>7591</v>
      </c>
      <c r="D1065" t="s">
        <v>7592</v>
      </c>
      <c r="E1065" t="s">
        <v>7593</v>
      </c>
      <c r="L1065" t="s">
        <v>71</v>
      </c>
      <c r="M1065" t="s">
        <v>72</v>
      </c>
      <c r="R1065" t="s">
        <v>7594</v>
      </c>
      <c r="W1065" t="s">
        <v>7593</v>
      </c>
      <c r="X1065" t="s">
        <v>393</v>
      </c>
      <c r="Y1065" t="s">
        <v>228</v>
      </c>
      <c r="Z1065" t="s">
        <v>73</v>
      </c>
      <c r="AA1065" t="str">
        <f>"14226-1727"</f>
        <v>14226-1727</v>
      </c>
      <c r="AB1065" t="s">
        <v>74</v>
      </c>
      <c r="AC1065" t="s">
        <v>75</v>
      </c>
      <c r="AD1065" t="s">
        <v>72</v>
      </c>
      <c r="AE1065" t="s">
        <v>76</v>
      </c>
      <c r="AF1065" t="s">
        <v>3974</v>
      </c>
      <c r="AG1065" t="s">
        <v>77</v>
      </c>
    </row>
    <row r="1066" spans="1:33" x14ac:dyDescent="0.25">
      <c r="A1066" t="str">
        <f>"1487953394"</f>
        <v>1487953394</v>
      </c>
      <c r="B1066" t="str">
        <f>"03331817"</f>
        <v>03331817</v>
      </c>
      <c r="C1066" t="s">
        <v>7595</v>
      </c>
      <c r="D1066" t="s">
        <v>7596</v>
      </c>
      <c r="E1066" t="s">
        <v>7597</v>
      </c>
      <c r="L1066" t="s">
        <v>79</v>
      </c>
      <c r="M1066" t="s">
        <v>72</v>
      </c>
      <c r="R1066" t="s">
        <v>7598</v>
      </c>
      <c r="W1066" t="s">
        <v>7597</v>
      </c>
      <c r="X1066" t="s">
        <v>3054</v>
      </c>
      <c r="Y1066" t="s">
        <v>1093</v>
      </c>
      <c r="Z1066" t="s">
        <v>73</v>
      </c>
      <c r="AA1066" t="str">
        <f>"14052-2540"</f>
        <v>14052-2540</v>
      </c>
      <c r="AB1066" t="s">
        <v>74</v>
      </c>
      <c r="AC1066" t="s">
        <v>75</v>
      </c>
      <c r="AD1066" t="s">
        <v>72</v>
      </c>
      <c r="AE1066" t="s">
        <v>76</v>
      </c>
      <c r="AF1066" t="s">
        <v>3961</v>
      </c>
      <c r="AG1066" t="s">
        <v>77</v>
      </c>
    </row>
    <row r="1067" spans="1:33" x14ac:dyDescent="0.25">
      <c r="A1067" t="str">
        <f>"1740245992"</f>
        <v>1740245992</v>
      </c>
      <c r="B1067" t="str">
        <f>"02502541"</f>
        <v>02502541</v>
      </c>
      <c r="C1067" t="s">
        <v>7599</v>
      </c>
      <c r="D1067" t="s">
        <v>2449</v>
      </c>
      <c r="E1067" t="s">
        <v>2450</v>
      </c>
      <c r="L1067" t="s">
        <v>79</v>
      </c>
      <c r="M1067" t="s">
        <v>72</v>
      </c>
      <c r="R1067" t="s">
        <v>2451</v>
      </c>
      <c r="W1067" t="s">
        <v>2450</v>
      </c>
      <c r="X1067" t="s">
        <v>798</v>
      </c>
      <c r="Y1067" t="s">
        <v>221</v>
      </c>
      <c r="Z1067" t="s">
        <v>73</v>
      </c>
      <c r="AA1067" t="str">
        <f>"14221-2917"</f>
        <v>14221-2917</v>
      </c>
      <c r="AB1067" t="s">
        <v>74</v>
      </c>
      <c r="AC1067" t="s">
        <v>75</v>
      </c>
      <c r="AD1067" t="s">
        <v>72</v>
      </c>
      <c r="AE1067" t="s">
        <v>76</v>
      </c>
      <c r="AF1067" t="s">
        <v>3974</v>
      </c>
      <c r="AG1067" t="s">
        <v>77</v>
      </c>
    </row>
    <row r="1068" spans="1:33" x14ac:dyDescent="0.25">
      <c r="A1068" t="str">
        <f>"1023278082"</f>
        <v>1023278082</v>
      </c>
      <c r="B1068" t="str">
        <f>"02987662"</f>
        <v>02987662</v>
      </c>
      <c r="C1068" t="s">
        <v>7600</v>
      </c>
      <c r="D1068" t="s">
        <v>1976</v>
      </c>
      <c r="E1068" t="s">
        <v>1977</v>
      </c>
      <c r="G1068" t="s">
        <v>7601</v>
      </c>
      <c r="H1068" t="s">
        <v>1979</v>
      </c>
      <c r="J1068" t="s">
        <v>6962</v>
      </c>
      <c r="L1068" t="s">
        <v>80</v>
      </c>
      <c r="M1068" t="s">
        <v>72</v>
      </c>
      <c r="R1068" t="s">
        <v>1978</v>
      </c>
      <c r="W1068" t="s">
        <v>1980</v>
      </c>
      <c r="X1068" t="s">
        <v>1981</v>
      </c>
      <c r="Y1068" t="s">
        <v>209</v>
      </c>
      <c r="Z1068" t="s">
        <v>73</v>
      </c>
      <c r="AA1068" t="str">
        <f>"14304-5705"</f>
        <v>14304-5705</v>
      </c>
      <c r="AB1068" t="s">
        <v>74</v>
      </c>
      <c r="AC1068" t="s">
        <v>75</v>
      </c>
      <c r="AD1068" t="s">
        <v>72</v>
      </c>
      <c r="AE1068" t="s">
        <v>76</v>
      </c>
      <c r="AF1068" t="s">
        <v>3961</v>
      </c>
      <c r="AG1068" t="s">
        <v>77</v>
      </c>
    </row>
    <row r="1069" spans="1:33" x14ac:dyDescent="0.25">
      <c r="A1069" t="str">
        <f>"1972705408"</f>
        <v>1972705408</v>
      </c>
      <c r="B1069" t="str">
        <f>"03781977"</f>
        <v>03781977</v>
      </c>
      <c r="C1069" t="s">
        <v>7602</v>
      </c>
      <c r="D1069" t="s">
        <v>1326</v>
      </c>
      <c r="E1069" t="s">
        <v>1327</v>
      </c>
      <c r="G1069" t="s">
        <v>5463</v>
      </c>
      <c r="H1069" t="s">
        <v>589</v>
      </c>
      <c r="J1069" t="s">
        <v>5464</v>
      </c>
      <c r="L1069" t="s">
        <v>79</v>
      </c>
      <c r="M1069" t="s">
        <v>72</v>
      </c>
      <c r="R1069" t="s">
        <v>1327</v>
      </c>
      <c r="W1069" t="s">
        <v>1327</v>
      </c>
      <c r="X1069" t="s">
        <v>1328</v>
      </c>
      <c r="Y1069" t="s">
        <v>221</v>
      </c>
      <c r="Z1069" t="s">
        <v>73</v>
      </c>
      <c r="AA1069" t="str">
        <f>"14221-5270"</f>
        <v>14221-5270</v>
      </c>
      <c r="AB1069" t="s">
        <v>74</v>
      </c>
      <c r="AC1069" t="s">
        <v>75</v>
      </c>
      <c r="AD1069" t="s">
        <v>72</v>
      </c>
      <c r="AE1069" t="s">
        <v>76</v>
      </c>
      <c r="AF1069" t="s">
        <v>3974</v>
      </c>
      <c r="AG1069" t="s">
        <v>77</v>
      </c>
    </row>
    <row r="1070" spans="1:33" x14ac:dyDescent="0.25">
      <c r="A1070" t="str">
        <f>"1992779284"</f>
        <v>1992779284</v>
      </c>
      <c r="B1070" t="str">
        <f>"00681874"</f>
        <v>00681874</v>
      </c>
      <c r="C1070" t="s">
        <v>7603</v>
      </c>
      <c r="D1070" t="s">
        <v>7604</v>
      </c>
      <c r="E1070" t="s">
        <v>7605</v>
      </c>
      <c r="G1070" t="s">
        <v>5156</v>
      </c>
      <c r="H1070" t="s">
        <v>1927</v>
      </c>
      <c r="J1070" t="s">
        <v>5157</v>
      </c>
      <c r="L1070" t="s">
        <v>84</v>
      </c>
      <c r="M1070" t="s">
        <v>72</v>
      </c>
      <c r="R1070" t="s">
        <v>7606</v>
      </c>
      <c r="W1070" t="s">
        <v>7605</v>
      </c>
      <c r="X1070" t="s">
        <v>7607</v>
      </c>
      <c r="Y1070" t="s">
        <v>117</v>
      </c>
      <c r="Z1070" t="s">
        <v>73</v>
      </c>
      <c r="AA1070" t="str">
        <f>"14210-2452"</f>
        <v>14210-2452</v>
      </c>
      <c r="AB1070" t="s">
        <v>74</v>
      </c>
      <c r="AC1070" t="s">
        <v>75</v>
      </c>
      <c r="AD1070" t="s">
        <v>72</v>
      </c>
      <c r="AE1070" t="s">
        <v>76</v>
      </c>
      <c r="AF1070" t="s">
        <v>3961</v>
      </c>
      <c r="AG1070" t="s">
        <v>77</v>
      </c>
    </row>
    <row r="1071" spans="1:33" x14ac:dyDescent="0.25">
      <c r="A1071" t="str">
        <f>"1477807097"</f>
        <v>1477807097</v>
      </c>
      <c r="B1071" t="str">
        <f>"03520990"</f>
        <v>03520990</v>
      </c>
      <c r="C1071" t="s">
        <v>7608</v>
      </c>
      <c r="D1071" t="s">
        <v>403</v>
      </c>
      <c r="E1071" t="s">
        <v>404</v>
      </c>
      <c r="F1071">
        <v>166002556</v>
      </c>
      <c r="G1071" t="s">
        <v>7316</v>
      </c>
      <c r="H1071" t="s">
        <v>405</v>
      </c>
      <c r="J1071" t="s">
        <v>7317</v>
      </c>
      <c r="L1071" t="s">
        <v>33</v>
      </c>
      <c r="M1071" t="s">
        <v>81</v>
      </c>
      <c r="R1071" t="s">
        <v>406</v>
      </c>
      <c r="W1071" t="s">
        <v>404</v>
      </c>
      <c r="X1071" t="s">
        <v>407</v>
      </c>
      <c r="Y1071" t="s">
        <v>408</v>
      </c>
      <c r="Z1071" t="s">
        <v>73</v>
      </c>
      <c r="AA1071" t="str">
        <f>"14757-1095"</f>
        <v>14757-1095</v>
      </c>
      <c r="AB1071" t="s">
        <v>88</v>
      </c>
      <c r="AC1071" t="s">
        <v>75</v>
      </c>
      <c r="AD1071" t="s">
        <v>72</v>
      </c>
      <c r="AE1071" t="s">
        <v>76</v>
      </c>
      <c r="AG1071" t="s">
        <v>77</v>
      </c>
    </row>
    <row r="1072" spans="1:33" x14ac:dyDescent="0.25">
      <c r="A1072" t="str">
        <f>"1902897374"</f>
        <v>1902897374</v>
      </c>
      <c r="B1072" t="str">
        <f>"02997928"</f>
        <v>02997928</v>
      </c>
      <c r="C1072" t="s">
        <v>7608</v>
      </c>
      <c r="D1072" t="s">
        <v>1700</v>
      </c>
      <c r="E1072" t="s">
        <v>1701</v>
      </c>
      <c r="F1072">
        <v>166002556</v>
      </c>
      <c r="G1072" t="s">
        <v>7316</v>
      </c>
      <c r="H1072" t="s">
        <v>405</v>
      </c>
      <c r="J1072" t="s">
        <v>7317</v>
      </c>
      <c r="L1072" t="s">
        <v>139</v>
      </c>
      <c r="M1072" t="s">
        <v>81</v>
      </c>
      <c r="R1072" t="s">
        <v>1273</v>
      </c>
      <c r="W1072" t="s">
        <v>1702</v>
      </c>
      <c r="X1072" t="s">
        <v>407</v>
      </c>
      <c r="Y1072" t="s">
        <v>408</v>
      </c>
      <c r="Z1072" t="s">
        <v>73</v>
      </c>
      <c r="AA1072" t="str">
        <f>"14757-1090"</f>
        <v>14757-1090</v>
      </c>
      <c r="AB1072" t="s">
        <v>83</v>
      </c>
      <c r="AC1072" t="s">
        <v>75</v>
      </c>
      <c r="AD1072" t="s">
        <v>72</v>
      </c>
      <c r="AE1072" t="s">
        <v>76</v>
      </c>
      <c r="AF1072" t="s">
        <v>4078</v>
      </c>
      <c r="AG1072" t="s">
        <v>77</v>
      </c>
    </row>
    <row r="1073" spans="1:33" x14ac:dyDescent="0.25">
      <c r="C1073" t="s">
        <v>7609</v>
      </c>
      <c r="G1073" t="s">
        <v>3593</v>
      </c>
      <c r="H1073" t="s">
        <v>7610</v>
      </c>
      <c r="J1073" t="s">
        <v>7611</v>
      </c>
      <c r="K1073" t="s">
        <v>89</v>
      </c>
      <c r="L1073" t="s">
        <v>90</v>
      </c>
      <c r="M1073" t="s">
        <v>72</v>
      </c>
      <c r="N1073" t="s">
        <v>7612</v>
      </c>
      <c r="O1073" t="s">
        <v>3473</v>
      </c>
      <c r="P1073" t="s">
        <v>73</v>
      </c>
      <c r="Q1073" t="str">
        <f>"14760"</f>
        <v>14760</v>
      </c>
      <c r="AC1073" t="s">
        <v>75</v>
      </c>
      <c r="AD1073" t="s">
        <v>72</v>
      </c>
      <c r="AE1073" t="s">
        <v>91</v>
      </c>
      <c r="AF1073" t="s">
        <v>4059</v>
      </c>
      <c r="AG1073" t="s">
        <v>77</v>
      </c>
    </row>
    <row r="1074" spans="1:33" x14ac:dyDescent="0.25">
      <c r="A1074" t="str">
        <f>"1710902200"</f>
        <v>1710902200</v>
      </c>
      <c r="B1074" t="str">
        <f>"02366347"</f>
        <v>02366347</v>
      </c>
      <c r="C1074" t="s">
        <v>420</v>
      </c>
      <c r="D1074" t="s">
        <v>7613</v>
      </c>
      <c r="E1074" t="s">
        <v>7614</v>
      </c>
      <c r="G1074" t="s">
        <v>4093</v>
      </c>
      <c r="H1074" t="s">
        <v>4094</v>
      </c>
      <c r="J1074" t="s">
        <v>7615</v>
      </c>
      <c r="L1074" t="s">
        <v>35</v>
      </c>
      <c r="M1074" t="s">
        <v>72</v>
      </c>
      <c r="R1074" t="s">
        <v>7616</v>
      </c>
      <c r="W1074" t="s">
        <v>7617</v>
      </c>
      <c r="X1074" t="s">
        <v>4097</v>
      </c>
      <c r="Y1074" t="s">
        <v>242</v>
      </c>
      <c r="Z1074" t="s">
        <v>73</v>
      </c>
      <c r="AA1074" t="str">
        <f>"14701-9385"</f>
        <v>14701-9385</v>
      </c>
      <c r="AB1074" t="s">
        <v>112</v>
      </c>
      <c r="AC1074" t="s">
        <v>75</v>
      </c>
      <c r="AD1074" t="s">
        <v>72</v>
      </c>
      <c r="AE1074" t="s">
        <v>76</v>
      </c>
      <c r="AG1074" t="s">
        <v>77</v>
      </c>
    </row>
    <row r="1075" spans="1:33" x14ac:dyDescent="0.25">
      <c r="A1075" t="str">
        <f>"1962684316"</f>
        <v>1962684316</v>
      </c>
      <c r="B1075" t="str">
        <f>"01143599"</f>
        <v>01143599</v>
      </c>
      <c r="C1075" t="s">
        <v>394</v>
      </c>
      <c r="D1075" t="s">
        <v>3617</v>
      </c>
      <c r="E1075" t="s">
        <v>3618</v>
      </c>
      <c r="G1075" t="s">
        <v>396</v>
      </c>
      <c r="H1075" t="s">
        <v>397</v>
      </c>
      <c r="J1075" t="s">
        <v>398</v>
      </c>
      <c r="L1075" t="s">
        <v>33</v>
      </c>
      <c r="M1075" t="s">
        <v>81</v>
      </c>
      <c r="R1075" t="s">
        <v>3613</v>
      </c>
      <c r="W1075" t="s">
        <v>3618</v>
      </c>
      <c r="X1075" t="s">
        <v>682</v>
      </c>
      <c r="Y1075" t="s">
        <v>117</v>
      </c>
      <c r="Z1075" t="s">
        <v>73</v>
      </c>
      <c r="AA1075" t="str">
        <f>"14209-1912"</f>
        <v>14209-1912</v>
      </c>
      <c r="AB1075" t="s">
        <v>88</v>
      </c>
      <c r="AC1075" t="s">
        <v>75</v>
      </c>
      <c r="AD1075" t="s">
        <v>72</v>
      </c>
      <c r="AE1075" t="s">
        <v>76</v>
      </c>
      <c r="AF1075" t="s">
        <v>4879</v>
      </c>
      <c r="AG1075" t="s">
        <v>77</v>
      </c>
    </row>
    <row r="1076" spans="1:33" x14ac:dyDescent="0.25">
      <c r="A1076" t="str">
        <f>"1487601837"</f>
        <v>1487601837</v>
      </c>
      <c r="B1076" t="str">
        <f>"03005176"</f>
        <v>03005176</v>
      </c>
      <c r="C1076" t="s">
        <v>394</v>
      </c>
      <c r="D1076" t="s">
        <v>482</v>
      </c>
      <c r="E1076" t="s">
        <v>483</v>
      </c>
      <c r="G1076" t="s">
        <v>396</v>
      </c>
      <c r="H1076" t="s">
        <v>397</v>
      </c>
      <c r="J1076" t="s">
        <v>398</v>
      </c>
      <c r="L1076" t="s">
        <v>122</v>
      </c>
      <c r="M1076" t="s">
        <v>81</v>
      </c>
      <c r="R1076" t="s">
        <v>395</v>
      </c>
      <c r="W1076" t="s">
        <v>483</v>
      </c>
      <c r="X1076" t="s">
        <v>485</v>
      </c>
      <c r="Y1076" t="s">
        <v>117</v>
      </c>
      <c r="Z1076" t="s">
        <v>73</v>
      </c>
      <c r="AA1076" t="str">
        <f>"14210-2324"</f>
        <v>14210-2324</v>
      </c>
      <c r="AB1076" t="s">
        <v>109</v>
      </c>
      <c r="AC1076" t="s">
        <v>75</v>
      </c>
      <c r="AD1076" t="s">
        <v>72</v>
      </c>
      <c r="AE1076" t="s">
        <v>76</v>
      </c>
      <c r="AF1076" t="s">
        <v>4879</v>
      </c>
      <c r="AG1076" t="s">
        <v>77</v>
      </c>
    </row>
    <row r="1077" spans="1:33" x14ac:dyDescent="0.25">
      <c r="A1077" t="str">
        <f>"1265607022"</f>
        <v>1265607022</v>
      </c>
      <c r="B1077" t="str">
        <f>"03005130"</f>
        <v>03005130</v>
      </c>
      <c r="C1077" t="s">
        <v>394</v>
      </c>
      <c r="D1077" t="s">
        <v>482</v>
      </c>
      <c r="E1077" t="s">
        <v>483</v>
      </c>
      <c r="G1077" t="s">
        <v>396</v>
      </c>
      <c r="H1077" t="s">
        <v>484</v>
      </c>
      <c r="J1077" t="s">
        <v>398</v>
      </c>
      <c r="L1077" t="s">
        <v>122</v>
      </c>
      <c r="M1077" t="s">
        <v>81</v>
      </c>
      <c r="R1077" t="s">
        <v>3619</v>
      </c>
      <c r="W1077" t="s">
        <v>483</v>
      </c>
      <c r="X1077" t="s">
        <v>485</v>
      </c>
      <c r="Y1077" t="s">
        <v>117</v>
      </c>
      <c r="Z1077" t="s">
        <v>73</v>
      </c>
      <c r="AA1077" t="str">
        <f>"14210-2324"</f>
        <v>14210-2324</v>
      </c>
      <c r="AB1077" t="s">
        <v>109</v>
      </c>
      <c r="AC1077" t="s">
        <v>75</v>
      </c>
      <c r="AD1077" t="s">
        <v>72</v>
      </c>
      <c r="AE1077" t="s">
        <v>76</v>
      </c>
      <c r="AF1077" t="s">
        <v>4879</v>
      </c>
      <c r="AG1077" t="s">
        <v>77</v>
      </c>
    </row>
    <row r="1078" spans="1:33" x14ac:dyDescent="0.25">
      <c r="A1078" t="str">
        <f>"1952660870"</f>
        <v>1952660870</v>
      </c>
      <c r="B1078" t="str">
        <f>"03456571"</f>
        <v>03456571</v>
      </c>
      <c r="C1078" t="s">
        <v>7618</v>
      </c>
      <c r="D1078" t="s">
        <v>3383</v>
      </c>
      <c r="E1078" t="s">
        <v>3384</v>
      </c>
      <c r="L1078" t="s">
        <v>71</v>
      </c>
      <c r="M1078" t="s">
        <v>72</v>
      </c>
      <c r="R1078" t="s">
        <v>3385</v>
      </c>
      <c r="W1078" t="s">
        <v>3386</v>
      </c>
      <c r="X1078" t="s">
        <v>2303</v>
      </c>
      <c r="Y1078" t="s">
        <v>117</v>
      </c>
      <c r="Z1078" t="s">
        <v>73</v>
      </c>
      <c r="AA1078" t="str">
        <f>"14267-0001"</f>
        <v>14267-0001</v>
      </c>
      <c r="AB1078" t="s">
        <v>74</v>
      </c>
      <c r="AC1078" t="s">
        <v>75</v>
      </c>
      <c r="AD1078" t="s">
        <v>72</v>
      </c>
      <c r="AE1078" t="s">
        <v>76</v>
      </c>
      <c r="AF1078" t="s">
        <v>4043</v>
      </c>
      <c r="AG1078" t="s">
        <v>77</v>
      </c>
    </row>
    <row r="1079" spans="1:33" x14ac:dyDescent="0.25">
      <c r="A1079" t="str">
        <f>"1952386484"</f>
        <v>1952386484</v>
      </c>
      <c r="B1079" t="str">
        <f>"02343819"</f>
        <v>02343819</v>
      </c>
      <c r="C1079" t="s">
        <v>7619</v>
      </c>
      <c r="D1079" t="s">
        <v>7620</v>
      </c>
      <c r="E1079" t="s">
        <v>7621</v>
      </c>
      <c r="L1079" t="s">
        <v>79</v>
      </c>
      <c r="M1079" t="s">
        <v>72</v>
      </c>
      <c r="R1079" t="s">
        <v>7622</v>
      </c>
      <c r="W1079" t="s">
        <v>7623</v>
      </c>
      <c r="X1079" t="s">
        <v>204</v>
      </c>
      <c r="Y1079" t="s">
        <v>117</v>
      </c>
      <c r="Z1079" t="s">
        <v>73</v>
      </c>
      <c r="AA1079" t="str">
        <f t="shared" ref="AA1079:AA1086" si="10">"14263-0001"</f>
        <v>14263-0001</v>
      </c>
      <c r="AB1079" t="s">
        <v>74</v>
      </c>
      <c r="AC1079" t="s">
        <v>75</v>
      </c>
      <c r="AD1079" t="s">
        <v>72</v>
      </c>
      <c r="AE1079" t="s">
        <v>76</v>
      </c>
      <c r="AF1079" t="s">
        <v>4043</v>
      </c>
      <c r="AG1079" t="s">
        <v>77</v>
      </c>
    </row>
    <row r="1080" spans="1:33" x14ac:dyDescent="0.25">
      <c r="A1080" t="str">
        <f>"1396057485"</f>
        <v>1396057485</v>
      </c>
      <c r="B1080" t="str">
        <f>"03282051"</f>
        <v>03282051</v>
      </c>
      <c r="C1080" t="s">
        <v>7624</v>
      </c>
      <c r="D1080" t="s">
        <v>7625</v>
      </c>
      <c r="E1080" t="s">
        <v>7626</v>
      </c>
      <c r="L1080" t="s">
        <v>71</v>
      </c>
      <c r="M1080" t="s">
        <v>72</v>
      </c>
      <c r="R1080" t="s">
        <v>7627</v>
      </c>
      <c r="W1080" t="s">
        <v>7628</v>
      </c>
      <c r="X1080" t="s">
        <v>204</v>
      </c>
      <c r="Y1080" t="s">
        <v>117</v>
      </c>
      <c r="Z1080" t="s">
        <v>73</v>
      </c>
      <c r="AA1080" t="str">
        <f t="shared" si="10"/>
        <v>14263-0001</v>
      </c>
      <c r="AB1080" t="s">
        <v>74</v>
      </c>
      <c r="AC1080" t="s">
        <v>75</v>
      </c>
      <c r="AD1080" t="s">
        <v>72</v>
      </c>
      <c r="AE1080" t="s">
        <v>76</v>
      </c>
      <c r="AF1080" t="s">
        <v>4043</v>
      </c>
      <c r="AG1080" t="s">
        <v>77</v>
      </c>
    </row>
    <row r="1081" spans="1:33" x14ac:dyDescent="0.25">
      <c r="A1081" t="str">
        <f>"1093064230"</f>
        <v>1093064230</v>
      </c>
      <c r="B1081" t="str">
        <f>"03498726"</f>
        <v>03498726</v>
      </c>
      <c r="C1081" t="s">
        <v>7629</v>
      </c>
      <c r="D1081" t="s">
        <v>1847</v>
      </c>
      <c r="E1081" t="s">
        <v>1848</v>
      </c>
      <c r="L1081" t="s">
        <v>71</v>
      </c>
      <c r="M1081" t="s">
        <v>72</v>
      </c>
      <c r="R1081" t="s">
        <v>1849</v>
      </c>
      <c r="W1081" t="s">
        <v>1848</v>
      </c>
      <c r="X1081" t="s">
        <v>204</v>
      </c>
      <c r="Y1081" t="s">
        <v>117</v>
      </c>
      <c r="Z1081" t="s">
        <v>73</v>
      </c>
      <c r="AA1081" t="str">
        <f t="shared" si="10"/>
        <v>14263-0001</v>
      </c>
      <c r="AB1081" t="s">
        <v>74</v>
      </c>
      <c r="AC1081" t="s">
        <v>75</v>
      </c>
      <c r="AD1081" t="s">
        <v>72</v>
      </c>
      <c r="AE1081" t="s">
        <v>76</v>
      </c>
      <c r="AF1081" t="s">
        <v>4043</v>
      </c>
      <c r="AG1081" t="s">
        <v>77</v>
      </c>
    </row>
    <row r="1082" spans="1:33" x14ac:dyDescent="0.25">
      <c r="A1082" t="str">
        <f>"1528043072"</f>
        <v>1528043072</v>
      </c>
      <c r="B1082" t="str">
        <f>"01994316"</f>
        <v>01994316</v>
      </c>
      <c r="C1082" t="s">
        <v>7630</v>
      </c>
      <c r="D1082" t="s">
        <v>1228</v>
      </c>
      <c r="E1082" t="s">
        <v>1229</v>
      </c>
      <c r="L1082" t="s">
        <v>79</v>
      </c>
      <c r="M1082" t="s">
        <v>72</v>
      </c>
      <c r="R1082" t="s">
        <v>1230</v>
      </c>
      <c r="W1082" t="s">
        <v>1229</v>
      </c>
      <c r="X1082" t="s">
        <v>204</v>
      </c>
      <c r="Y1082" t="s">
        <v>117</v>
      </c>
      <c r="Z1082" t="s">
        <v>73</v>
      </c>
      <c r="AA1082" t="str">
        <f t="shared" si="10"/>
        <v>14263-0001</v>
      </c>
      <c r="AB1082" t="s">
        <v>74</v>
      </c>
      <c r="AC1082" t="s">
        <v>75</v>
      </c>
      <c r="AD1082" t="s">
        <v>72</v>
      </c>
      <c r="AE1082" t="s">
        <v>76</v>
      </c>
      <c r="AF1082" t="s">
        <v>4043</v>
      </c>
      <c r="AG1082" t="s">
        <v>77</v>
      </c>
    </row>
    <row r="1083" spans="1:33" x14ac:dyDescent="0.25">
      <c r="A1083" t="str">
        <f>"1902881923"</f>
        <v>1902881923</v>
      </c>
      <c r="B1083" t="str">
        <f>"02073903"</f>
        <v>02073903</v>
      </c>
      <c r="C1083" t="s">
        <v>7631</v>
      </c>
      <c r="D1083" t="s">
        <v>1284</v>
      </c>
      <c r="E1083" t="s">
        <v>1285</v>
      </c>
      <c r="L1083" t="s">
        <v>79</v>
      </c>
      <c r="M1083" t="s">
        <v>72</v>
      </c>
      <c r="R1083" t="s">
        <v>1286</v>
      </c>
      <c r="W1083" t="s">
        <v>1287</v>
      </c>
      <c r="X1083" t="s">
        <v>204</v>
      </c>
      <c r="Y1083" t="s">
        <v>117</v>
      </c>
      <c r="Z1083" t="s">
        <v>73</v>
      </c>
      <c r="AA1083" t="str">
        <f t="shared" si="10"/>
        <v>14263-0001</v>
      </c>
      <c r="AB1083" t="s">
        <v>74</v>
      </c>
      <c r="AC1083" t="s">
        <v>75</v>
      </c>
      <c r="AD1083" t="s">
        <v>72</v>
      </c>
      <c r="AE1083" t="s">
        <v>76</v>
      </c>
      <c r="AF1083" t="s">
        <v>4043</v>
      </c>
      <c r="AG1083" t="s">
        <v>77</v>
      </c>
    </row>
    <row r="1084" spans="1:33" x14ac:dyDescent="0.25">
      <c r="A1084" t="str">
        <f>"1568447290"</f>
        <v>1568447290</v>
      </c>
      <c r="B1084" t="str">
        <f>"02069170"</f>
        <v>02069170</v>
      </c>
      <c r="C1084" t="s">
        <v>7632</v>
      </c>
      <c r="D1084" t="s">
        <v>700</v>
      </c>
      <c r="E1084" t="s">
        <v>701</v>
      </c>
      <c r="L1084" t="s">
        <v>79</v>
      </c>
      <c r="M1084" t="s">
        <v>72</v>
      </c>
      <c r="R1084" t="s">
        <v>702</v>
      </c>
      <c r="W1084" t="s">
        <v>703</v>
      </c>
      <c r="X1084" t="s">
        <v>204</v>
      </c>
      <c r="Y1084" t="s">
        <v>117</v>
      </c>
      <c r="Z1084" t="s">
        <v>73</v>
      </c>
      <c r="AA1084" t="str">
        <f t="shared" si="10"/>
        <v>14263-0001</v>
      </c>
      <c r="AB1084" t="s">
        <v>74</v>
      </c>
      <c r="AC1084" t="s">
        <v>75</v>
      </c>
      <c r="AD1084" t="s">
        <v>72</v>
      </c>
      <c r="AE1084" t="s">
        <v>76</v>
      </c>
      <c r="AF1084" t="s">
        <v>4043</v>
      </c>
      <c r="AG1084" t="s">
        <v>77</v>
      </c>
    </row>
    <row r="1085" spans="1:33" x14ac:dyDescent="0.25">
      <c r="A1085" t="str">
        <f>"1255317632"</f>
        <v>1255317632</v>
      </c>
      <c r="B1085" t="str">
        <f>"02710901"</f>
        <v>02710901</v>
      </c>
      <c r="C1085" t="s">
        <v>7633</v>
      </c>
      <c r="D1085" t="s">
        <v>7634</v>
      </c>
      <c r="E1085" t="s">
        <v>7635</v>
      </c>
      <c r="L1085" t="s">
        <v>71</v>
      </c>
      <c r="M1085" t="s">
        <v>72</v>
      </c>
      <c r="R1085" t="s">
        <v>7636</v>
      </c>
      <c r="W1085" t="s">
        <v>7637</v>
      </c>
      <c r="X1085" t="s">
        <v>204</v>
      </c>
      <c r="Y1085" t="s">
        <v>117</v>
      </c>
      <c r="Z1085" t="s">
        <v>73</v>
      </c>
      <c r="AA1085" t="str">
        <f t="shared" si="10"/>
        <v>14263-0001</v>
      </c>
      <c r="AB1085" t="s">
        <v>74</v>
      </c>
      <c r="AC1085" t="s">
        <v>75</v>
      </c>
      <c r="AD1085" t="s">
        <v>72</v>
      </c>
      <c r="AE1085" t="s">
        <v>76</v>
      </c>
      <c r="AF1085" t="s">
        <v>4043</v>
      </c>
      <c r="AG1085" t="s">
        <v>77</v>
      </c>
    </row>
    <row r="1086" spans="1:33" x14ac:dyDescent="0.25">
      <c r="A1086" t="str">
        <f>"1689714859"</f>
        <v>1689714859</v>
      </c>
      <c r="B1086" t="str">
        <f>"03520376"</f>
        <v>03520376</v>
      </c>
      <c r="C1086" t="s">
        <v>7638</v>
      </c>
      <c r="D1086" t="s">
        <v>7639</v>
      </c>
      <c r="E1086" t="s">
        <v>7640</v>
      </c>
      <c r="L1086" t="s">
        <v>71</v>
      </c>
      <c r="M1086" t="s">
        <v>72</v>
      </c>
      <c r="R1086" t="s">
        <v>7640</v>
      </c>
      <c r="W1086" t="s">
        <v>7640</v>
      </c>
      <c r="X1086" t="s">
        <v>204</v>
      </c>
      <c r="Y1086" t="s">
        <v>117</v>
      </c>
      <c r="Z1086" t="s">
        <v>73</v>
      </c>
      <c r="AA1086" t="str">
        <f t="shared" si="10"/>
        <v>14263-0001</v>
      </c>
      <c r="AB1086" t="s">
        <v>74</v>
      </c>
      <c r="AC1086" t="s">
        <v>75</v>
      </c>
      <c r="AD1086" t="s">
        <v>72</v>
      </c>
      <c r="AE1086" t="s">
        <v>76</v>
      </c>
      <c r="AF1086" t="s">
        <v>4043</v>
      </c>
      <c r="AG1086" t="s">
        <v>77</v>
      </c>
    </row>
    <row r="1087" spans="1:33" x14ac:dyDescent="0.25">
      <c r="A1087" t="str">
        <f>"1891767455"</f>
        <v>1891767455</v>
      </c>
      <c r="B1087" t="str">
        <f>"02344952"</f>
        <v>02344952</v>
      </c>
      <c r="C1087" t="s">
        <v>7641</v>
      </c>
      <c r="D1087" t="s">
        <v>7642</v>
      </c>
      <c r="E1087" t="s">
        <v>7643</v>
      </c>
      <c r="L1087" t="s">
        <v>79</v>
      </c>
      <c r="M1087" t="s">
        <v>72</v>
      </c>
      <c r="R1087" t="s">
        <v>7644</v>
      </c>
      <c r="W1087" t="s">
        <v>7643</v>
      </c>
      <c r="X1087" t="s">
        <v>234</v>
      </c>
      <c r="Y1087" t="s">
        <v>117</v>
      </c>
      <c r="Z1087" t="s">
        <v>73</v>
      </c>
      <c r="AA1087" t="str">
        <f>"14220-2039"</f>
        <v>14220-2039</v>
      </c>
      <c r="AB1087" t="s">
        <v>74</v>
      </c>
      <c r="AC1087" t="s">
        <v>75</v>
      </c>
      <c r="AD1087" t="s">
        <v>72</v>
      </c>
      <c r="AE1087" t="s">
        <v>76</v>
      </c>
      <c r="AF1087" t="s">
        <v>4043</v>
      </c>
      <c r="AG1087" t="s">
        <v>77</v>
      </c>
    </row>
    <row r="1088" spans="1:33" x14ac:dyDescent="0.25">
      <c r="A1088" t="str">
        <f>"1417902479"</f>
        <v>1417902479</v>
      </c>
      <c r="B1088" t="str">
        <f>"02511291"</f>
        <v>02511291</v>
      </c>
      <c r="C1088" t="s">
        <v>7645</v>
      </c>
      <c r="D1088" t="s">
        <v>1598</v>
      </c>
      <c r="E1088" t="s">
        <v>1599</v>
      </c>
      <c r="L1088" t="s">
        <v>79</v>
      </c>
      <c r="M1088" t="s">
        <v>72</v>
      </c>
      <c r="R1088" t="s">
        <v>1600</v>
      </c>
      <c r="W1088" t="s">
        <v>1601</v>
      </c>
      <c r="X1088" t="s">
        <v>204</v>
      </c>
      <c r="Y1088" t="s">
        <v>117</v>
      </c>
      <c r="Z1088" t="s">
        <v>73</v>
      </c>
      <c r="AA1088" t="str">
        <f>"14263-0001"</f>
        <v>14263-0001</v>
      </c>
      <c r="AB1088" t="s">
        <v>74</v>
      </c>
      <c r="AC1088" t="s">
        <v>75</v>
      </c>
      <c r="AD1088" t="s">
        <v>72</v>
      </c>
      <c r="AE1088" t="s">
        <v>76</v>
      </c>
      <c r="AF1088" t="s">
        <v>4043</v>
      </c>
      <c r="AG1088" t="s">
        <v>77</v>
      </c>
    </row>
    <row r="1089" spans="1:33" x14ac:dyDescent="0.25">
      <c r="A1089" t="str">
        <f>"1396006425"</f>
        <v>1396006425</v>
      </c>
      <c r="B1089" t="str">
        <f>"03479316"</f>
        <v>03479316</v>
      </c>
      <c r="C1089" t="s">
        <v>7646</v>
      </c>
      <c r="D1089" t="s">
        <v>7647</v>
      </c>
      <c r="E1089" t="s">
        <v>7648</v>
      </c>
      <c r="L1089" t="s">
        <v>71</v>
      </c>
      <c r="M1089" t="s">
        <v>72</v>
      </c>
      <c r="R1089" t="s">
        <v>7649</v>
      </c>
      <c r="W1089" t="s">
        <v>7649</v>
      </c>
      <c r="X1089" t="s">
        <v>204</v>
      </c>
      <c r="Y1089" t="s">
        <v>117</v>
      </c>
      <c r="Z1089" t="s">
        <v>73</v>
      </c>
      <c r="AA1089" t="str">
        <f>"14263-0001"</f>
        <v>14263-0001</v>
      </c>
      <c r="AB1089" t="s">
        <v>74</v>
      </c>
      <c r="AC1089" t="s">
        <v>75</v>
      </c>
      <c r="AD1089" t="s">
        <v>72</v>
      </c>
      <c r="AE1089" t="s">
        <v>76</v>
      </c>
      <c r="AF1089" t="s">
        <v>4043</v>
      </c>
      <c r="AG1089" t="s">
        <v>77</v>
      </c>
    </row>
    <row r="1090" spans="1:33" x14ac:dyDescent="0.25">
      <c r="A1090" t="str">
        <f>"1922374891"</f>
        <v>1922374891</v>
      </c>
      <c r="B1090" t="str">
        <f>"03457527"</f>
        <v>03457527</v>
      </c>
      <c r="C1090" t="s">
        <v>7650</v>
      </c>
      <c r="D1090" t="s">
        <v>7651</v>
      </c>
      <c r="E1090" t="s">
        <v>7652</v>
      </c>
      <c r="L1090" t="s">
        <v>92</v>
      </c>
      <c r="M1090" t="s">
        <v>72</v>
      </c>
      <c r="R1090" t="s">
        <v>7653</v>
      </c>
      <c r="W1090" t="s">
        <v>7654</v>
      </c>
      <c r="X1090" t="s">
        <v>2303</v>
      </c>
      <c r="Y1090" t="s">
        <v>117</v>
      </c>
      <c r="Z1090" t="s">
        <v>73</v>
      </c>
      <c r="AA1090" t="str">
        <f>"14267-0001"</f>
        <v>14267-0001</v>
      </c>
      <c r="AB1090" t="s">
        <v>74</v>
      </c>
      <c r="AC1090" t="s">
        <v>75</v>
      </c>
      <c r="AD1090" t="s">
        <v>72</v>
      </c>
      <c r="AE1090" t="s">
        <v>76</v>
      </c>
      <c r="AF1090" t="s">
        <v>4043</v>
      </c>
      <c r="AG1090" t="s">
        <v>77</v>
      </c>
    </row>
    <row r="1091" spans="1:33" x14ac:dyDescent="0.25">
      <c r="A1091" t="str">
        <f>"1578593315"</f>
        <v>1578593315</v>
      </c>
      <c r="B1091" t="str">
        <f>"02341404"</f>
        <v>02341404</v>
      </c>
      <c r="C1091" t="s">
        <v>7655</v>
      </c>
      <c r="D1091" t="s">
        <v>892</v>
      </c>
      <c r="E1091" t="s">
        <v>893</v>
      </c>
      <c r="L1091" t="s">
        <v>79</v>
      </c>
      <c r="M1091" t="s">
        <v>72</v>
      </c>
      <c r="R1091" t="s">
        <v>894</v>
      </c>
      <c r="W1091" t="s">
        <v>893</v>
      </c>
      <c r="X1091" t="s">
        <v>234</v>
      </c>
      <c r="Y1091" t="s">
        <v>117</v>
      </c>
      <c r="Z1091" t="s">
        <v>73</v>
      </c>
      <c r="AA1091" t="str">
        <f>"14220-2039"</f>
        <v>14220-2039</v>
      </c>
      <c r="AB1091" t="s">
        <v>74</v>
      </c>
      <c r="AC1091" t="s">
        <v>75</v>
      </c>
      <c r="AD1091" t="s">
        <v>72</v>
      </c>
      <c r="AE1091" t="s">
        <v>76</v>
      </c>
      <c r="AF1091" t="s">
        <v>4043</v>
      </c>
      <c r="AG1091" t="s">
        <v>77</v>
      </c>
    </row>
    <row r="1092" spans="1:33" x14ac:dyDescent="0.25">
      <c r="A1092" t="str">
        <f>"1184600777"</f>
        <v>1184600777</v>
      </c>
      <c r="B1092" t="str">
        <f>"02430353"</f>
        <v>02430353</v>
      </c>
      <c r="C1092" t="s">
        <v>7656</v>
      </c>
      <c r="D1092" t="s">
        <v>2925</v>
      </c>
      <c r="E1092" t="s">
        <v>2926</v>
      </c>
      <c r="L1092" t="s">
        <v>79</v>
      </c>
      <c r="M1092" t="s">
        <v>72</v>
      </c>
      <c r="R1092" t="s">
        <v>2927</v>
      </c>
      <c r="W1092" t="s">
        <v>2926</v>
      </c>
      <c r="X1092" t="s">
        <v>1514</v>
      </c>
      <c r="Y1092" t="s">
        <v>1351</v>
      </c>
      <c r="Z1092" t="s">
        <v>73</v>
      </c>
      <c r="AA1092" t="str">
        <f>"14111"</f>
        <v>14111</v>
      </c>
      <c r="AB1092" t="s">
        <v>74</v>
      </c>
      <c r="AC1092" t="s">
        <v>75</v>
      </c>
      <c r="AD1092" t="s">
        <v>72</v>
      </c>
      <c r="AE1092" t="s">
        <v>76</v>
      </c>
      <c r="AF1092" t="s">
        <v>4043</v>
      </c>
      <c r="AG1092" t="s">
        <v>77</v>
      </c>
    </row>
    <row r="1093" spans="1:33" x14ac:dyDescent="0.25">
      <c r="A1093" t="str">
        <f>"1598741696"</f>
        <v>1598741696</v>
      </c>
      <c r="B1093" t="str">
        <f>"02343479"</f>
        <v>02343479</v>
      </c>
      <c r="C1093" t="s">
        <v>7657</v>
      </c>
      <c r="D1093" t="s">
        <v>7658</v>
      </c>
      <c r="E1093" t="s">
        <v>7659</v>
      </c>
      <c r="L1093" t="s">
        <v>79</v>
      </c>
      <c r="M1093" t="s">
        <v>72</v>
      </c>
      <c r="R1093" t="s">
        <v>7660</v>
      </c>
      <c r="W1093" t="s">
        <v>7659</v>
      </c>
      <c r="X1093" t="s">
        <v>204</v>
      </c>
      <c r="Y1093" t="s">
        <v>117</v>
      </c>
      <c r="Z1093" t="s">
        <v>73</v>
      </c>
      <c r="AA1093" t="str">
        <f>"14263-0001"</f>
        <v>14263-0001</v>
      </c>
      <c r="AB1093" t="s">
        <v>74</v>
      </c>
      <c r="AC1093" t="s">
        <v>75</v>
      </c>
      <c r="AD1093" t="s">
        <v>72</v>
      </c>
      <c r="AE1093" t="s">
        <v>76</v>
      </c>
      <c r="AF1093" t="s">
        <v>4043</v>
      </c>
      <c r="AG1093" t="s">
        <v>77</v>
      </c>
    </row>
    <row r="1094" spans="1:33" x14ac:dyDescent="0.25">
      <c r="A1094" t="str">
        <f>"1194822890"</f>
        <v>1194822890</v>
      </c>
      <c r="B1094" t="str">
        <f>"02936510"</f>
        <v>02936510</v>
      </c>
      <c r="C1094" t="s">
        <v>7661</v>
      </c>
      <c r="D1094" t="s">
        <v>3094</v>
      </c>
      <c r="E1094" t="s">
        <v>3095</v>
      </c>
      <c r="L1094" t="s">
        <v>79</v>
      </c>
      <c r="M1094" t="s">
        <v>72</v>
      </c>
      <c r="R1094" t="s">
        <v>3096</v>
      </c>
      <c r="W1094" t="s">
        <v>3097</v>
      </c>
      <c r="X1094" t="s">
        <v>234</v>
      </c>
      <c r="Y1094" t="s">
        <v>117</v>
      </c>
      <c r="Z1094" t="s">
        <v>73</v>
      </c>
      <c r="AA1094" t="str">
        <f>"14220-2039"</f>
        <v>14220-2039</v>
      </c>
      <c r="AB1094" t="s">
        <v>74</v>
      </c>
      <c r="AC1094" t="s">
        <v>75</v>
      </c>
      <c r="AD1094" t="s">
        <v>72</v>
      </c>
      <c r="AE1094" t="s">
        <v>76</v>
      </c>
      <c r="AF1094" t="s">
        <v>4043</v>
      </c>
      <c r="AG1094" t="s">
        <v>77</v>
      </c>
    </row>
    <row r="1095" spans="1:33" x14ac:dyDescent="0.25">
      <c r="A1095" t="str">
        <f>"1033343173"</f>
        <v>1033343173</v>
      </c>
      <c r="B1095" t="str">
        <f>"03265583"</f>
        <v>03265583</v>
      </c>
      <c r="C1095" t="s">
        <v>7662</v>
      </c>
      <c r="D1095" t="s">
        <v>7663</v>
      </c>
      <c r="E1095" t="s">
        <v>7664</v>
      </c>
      <c r="G1095" t="s">
        <v>4647</v>
      </c>
      <c r="H1095" t="s">
        <v>2062</v>
      </c>
      <c r="J1095" t="s">
        <v>4648</v>
      </c>
      <c r="L1095" t="s">
        <v>80</v>
      </c>
      <c r="M1095" t="s">
        <v>72</v>
      </c>
      <c r="R1095" t="s">
        <v>7664</v>
      </c>
      <c r="W1095" t="s">
        <v>7664</v>
      </c>
      <c r="X1095" t="s">
        <v>1924</v>
      </c>
      <c r="Y1095" t="s">
        <v>221</v>
      </c>
      <c r="Z1095" t="s">
        <v>73</v>
      </c>
      <c r="AA1095" t="str">
        <f>"14221-5367"</f>
        <v>14221-5367</v>
      </c>
      <c r="AB1095" t="s">
        <v>74</v>
      </c>
      <c r="AC1095" t="s">
        <v>75</v>
      </c>
      <c r="AD1095" t="s">
        <v>72</v>
      </c>
      <c r="AE1095" t="s">
        <v>76</v>
      </c>
      <c r="AF1095" t="s">
        <v>3961</v>
      </c>
      <c r="AG1095" t="s">
        <v>77</v>
      </c>
    </row>
    <row r="1096" spans="1:33" x14ac:dyDescent="0.25">
      <c r="A1096" t="str">
        <f>"1437114709"</f>
        <v>1437114709</v>
      </c>
      <c r="B1096" t="str">
        <f>"01474675"</f>
        <v>01474675</v>
      </c>
      <c r="C1096" t="s">
        <v>7665</v>
      </c>
      <c r="D1096" t="s">
        <v>7666</v>
      </c>
      <c r="E1096" t="s">
        <v>7667</v>
      </c>
      <c r="G1096" t="s">
        <v>7665</v>
      </c>
      <c r="H1096" t="s">
        <v>5786</v>
      </c>
      <c r="L1096" t="s">
        <v>79</v>
      </c>
      <c r="M1096" t="s">
        <v>81</v>
      </c>
      <c r="R1096" t="s">
        <v>7668</v>
      </c>
      <c r="W1096" t="s">
        <v>7667</v>
      </c>
      <c r="X1096" t="s">
        <v>369</v>
      </c>
      <c r="Y1096" t="s">
        <v>117</v>
      </c>
      <c r="Z1096" t="s">
        <v>73</v>
      </c>
      <c r="AA1096" t="str">
        <f>"14209-2412"</f>
        <v>14209-2412</v>
      </c>
      <c r="AB1096" t="s">
        <v>105</v>
      </c>
      <c r="AC1096" t="s">
        <v>75</v>
      </c>
      <c r="AD1096" t="s">
        <v>72</v>
      </c>
      <c r="AE1096" t="s">
        <v>76</v>
      </c>
      <c r="AF1096" t="s">
        <v>3961</v>
      </c>
      <c r="AG1096" t="s">
        <v>77</v>
      </c>
    </row>
    <row r="1097" spans="1:33" x14ac:dyDescent="0.25">
      <c r="A1097" t="str">
        <f>"1073556825"</f>
        <v>1073556825</v>
      </c>
      <c r="B1097" t="str">
        <f>"01619612"</f>
        <v>01619612</v>
      </c>
      <c r="C1097" t="s">
        <v>7669</v>
      </c>
      <c r="D1097" t="s">
        <v>3267</v>
      </c>
      <c r="E1097" t="s">
        <v>3268</v>
      </c>
      <c r="G1097" t="s">
        <v>7669</v>
      </c>
      <c r="H1097" t="s">
        <v>7670</v>
      </c>
      <c r="J1097" t="s">
        <v>4034</v>
      </c>
      <c r="L1097" t="s">
        <v>80</v>
      </c>
      <c r="M1097" t="s">
        <v>72</v>
      </c>
      <c r="R1097" t="s">
        <v>3269</v>
      </c>
      <c r="W1097" t="s">
        <v>3270</v>
      </c>
      <c r="X1097" t="s">
        <v>3271</v>
      </c>
      <c r="Y1097" t="s">
        <v>237</v>
      </c>
      <c r="Z1097" t="s">
        <v>73</v>
      </c>
      <c r="AA1097" t="str">
        <f>"14224-3352"</f>
        <v>14224-3352</v>
      </c>
      <c r="AB1097" t="s">
        <v>74</v>
      </c>
      <c r="AC1097" t="s">
        <v>75</v>
      </c>
      <c r="AD1097" t="s">
        <v>72</v>
      </c>
      <c r="AE1097" t="s">
        <v>76</v>
      </c>
      <c r="AF1097" t="s">
        <v>3961</v>
      </c>
      <c r="AG1097" t="s">
        <v>77</v>
      </c>
    </row>
    <row r="1098" spans="1:33" x14ac:dyDescent="0.25">
      <c r="A1098" t="str">
        <f>"1558396325"</f>
        <v>1558396325</v>
      </c>
      <c r="B1098" t="str">
        <f>"02176781"</f>
        <v>02176781</v>
      </c>
      <c r="C1098" t="s">
        <v>7671</v>
      </c>
      <c r="D1098" t="s">
        <v>1499</v>
      </c>
      <c r="E1098" t="s">
        <v>1500</v>
      </c>
      <c r="G1098" t="s">
        <v>7671</v>
      </c>
      <c r="H1098" t="s">
        <v>7672</v>
      </c>
      <c r="J1098" t="s">
        <v>7673</v>
      </c>
      <c r="L1098" t="s">
        <v>80</v>
      </c>
      <c r="M1098" t="s">
        <v>72</v>
      </c>
      <c r="R1098" t="s">
        <v>1501</v>
      </c>
      <c r="W1098" t="s">
        <v>1500</v>
      </c>
      <c r="X1098" t="s">
        <v>1502</v>
      </c>
      <c r="Y1098" t="s">
        <v>503</v>
      </c>
      <c r="Z1098" t="s">
        <v>73</v>
      </c>
      <c r="AA1098" t="str">
        <f>"14009-1626"</f>
        <v>14009-1626</v>
      </c>
      <c r="AB1098" t="s">
        <v>74</v>
      </c>
      <c r="AC1098" t="s">
        <v>75</v>
      </c>
      <c r="AD1098" t="s">
        <v>72</v>
      </c>
      <c r="AE1098" t="s">
        <v>76</v>
      </c>
      <c r="AF1098" t="s">
        <v>3961</v>
      </c>
      <c r="AG1098" t="s">
        <v>77</v>
      </c>
    </row>
    <row r="1099" spans="1:33" x14ac:dyDescent="0.25">
      <c r="A1099" t="str">
        <f>"1023078359"</f>
        <v>1023078359</v>
      </c>
      <c r="B1099" t="str">
        <f>"00708925"</f>
        <v>00708925</v>
      </c>
      <c r="C1099" t="s">
        <v>7674</v>
      </c>
      <c r="D1099" t="s">
        <v>7675</v>
      </c>
      <c r="E1099" t="s">
        <v>7676</v>
      </c>
      <c r="G1099" t="s">
        <v>5076</v>
      </c>
      <c r="H1099" t="s">
        <v>5077</v>
      </c>
      <c r="J1099" t="s">
        <v>5078</v>
      </c>
      <c r="L1099" t="s">
        <v>79</v>
      </c>
      <c r="M1099" t="s">
        <v>72</v>
      </c>
      <c r="R1099" t="s">
        <v>7677</v>
      </c>
      <c r="W1099" t="s">
        <v>7676</v>
      </c>
      <c r="X1099" t="s">
        <v>5809</v>
      </c>
      <c r="Y1099" t="s">
        <v>117</v>
      </c>
      <c r="Z1099" t="s">
        <v>73</v>
      </c>
      <c r="AA1099" t="str">
        <f>"14203-1126"</f>
        <v>14203-1126</v>
      </c>
      <c r="AB1099" t="s">
        <v>74</v>
      </c>
      <c r="AC1099" t="s">
        <v>75</v>
      </c>
      <c r="AD1099" t="s">
        <v>72</v>
      </c>
      <c r="AE1099" t="s">
        <v>76</v>
      </c>
      <c r="AF1099" t="s">
        <v>3974</v>
      </c>
      <c r="AG1099" t="s">
        <v>77</v>
      </c>
    </row>
    <row r="1100" spans="1:33" x14ac:dyDescent="0.25">
      <c r="A1100" t="str">
        <f>"1215962808"</f>
        <v>1215962808</v>
      </c>
      <c r="B1100" t="str">
        <f>"01488637"</f>
        <v>01488637</v>
      </c>
      <c r="C1100" t="s">
        <v>7678</v>
      </c>
      <c r="D1100" t="s">
        <v>7679</v>
      </c>
      <c r="E1100" t="s">
        <v>7680</v>
      </c>
      <c r="G1100" t="s">
        <v>7681</v>
      </c>
      <c r="H1100" t="s">
        <v>7682</v>
      </c>
      <c r="J1100" t="s">
        <v>7683</v>
      </c>
      <c r="L1100" t="s">
        <v>80</v>
      </c>
      <c r="M1100" t="s">
        <v>72</v>
      </c>
      <c r="R1100" t="s">
        <v>7684</v>
      </c>
      <c r="W1100" t="s">
        <v>7680</v>
      </c>
      <c r="X1100" t="s">
        <v>7685</v>
      </c>
      <c r="Y1100" t="s">
        <v>117</v>
      </c>
      <c r="Z1100" t="s">
        <v>73</v>
      </c>
      <c r="AA1100" t="str">
        <f>"14226-4800"</f>
        <v>14226-4800</v>
      </c>
      <c r="AB1100" t="s">
        <v>74</v>
      </c>
      <c r="AC1100" t="s">
        <v>75</v>
      </c>
      <c r="AD1100" t="s">
        <v>72</v>
      </c>
      <c r="AE1100" t="s">
        <v>76</v>
      </c>
      <c r="AF1100" t="s">
        <v>3961</v>
      </c>
      <c r="AG1100" t="s">
        <v>77</v>
      </c>
    </row>
    <row r="1101" spans="1:33" x14ac:dyDescent="0.25">
      <c r="A1101" t="str">
        <f>"1073569877"</f>
        <v>1073569877</v>
      </c>
      <c r="B1101" t="str">
        <f>"02070799"</f>
        <v>02070799</v>
      </c>
      <c r="C1101" t="s">
        <v>7686</v>
      </c>
      <c r="D1101" t="s">
        <v>2736</v>
      </c>
      <c r="E1101" t="s">
        <v>2737</v>
      </c>
      <c r="G1101" t="s">
        <v>6478</v>
      </c>
      <c r="H1101" t="s">
        <v>1695</v>
      </c>
      <c r="J1101" t="s">
        <v>6479</v>
      </c>
      <c r="L1101" t="s">
        <v>79</v>
      </c>
      <c r="M1101" t="s">
        <v>72</v>
      </c>
      <c r="R1101" t="s">
        <v>2738</v>
      </c>
      <c r="W1101" t="s">
        <v>2737</v>
      </c>
      <c r="X1101" t="s">
        <v>176</v>
      </c>
      <c r="Y1101" t="s">
        <v>111</v>
      </c>
      <c r="Z1101" t="s">
        <v>73</v>
      </c>
      <c r="AA1101" t="str">
        <f>"14618-2663"</f>
        <v>14618-2663</v>
      </c>
      <c r="AB1101" t="s">
        <v>74</v>
      </c>
      <c r="AC1101" t="s">
        <v>75</v>
      </c>
      <c r="AD1101" t="s">
        <v>72</v>
      </c>
      <c r="AE1101" t="s">
        <v>76</v>
      </c>
      <c r="AF1101" t="s">
        <v>3974</v>
      </c>
      <c r="AG1101" t="s">
        <v>77</v>
      </c>
    </row>
    <row r="1102" spans="1:33" x14ac:dyDescent="0.25">
      <c r="A1102" t="str">
        <f>"1467558056"</f>
        <v>1467558056</v>
      </c>
      <c r="B1102" t="str">
        <f>"02058111"</f>
        <v>02058111</v>
      </c>
      <c r="C1102" t="s">
        <v>7687</v>
      </c>
      <c r="D1102" t="s">
        <v>7688</v>
      </c>
      <c r="E1102" t="s">
        <v>7689</v>
      </c>
      <c r="G1102" t="s">
        <v>6499</v>
      </c>
      <c r="H1102" t="s">
        <v>6500</v>
      </c>
      <c r="J1102" t="s">
        <v>6501</v>
      </c>
      <c r="L1102" t="s">
        <v>79</v>
      </c>
      <c r="M1102" t="s">
        <v>72</v>
      </c>
      <c r="R1102" t="s">
        <v>7690</v>
      </c>
      <c r="W1102" t="s">
        <v>7689</v>
      </c>
      <c r="Y1102" t="s">
        <v>117</v>
      </c>
      <c r="Z1102" t="s">
        <v>73</v>
      </c>
      <c r="AA1102" t="str">
        <f>"14214-2648"</f>
        <v>14214-2648</v>
      </c>
      <c r="AB1102" t="s">
        <v>74</v>
      </c>
      <c r="AC1102" t="s">
        <v>75</v>
      </c>
      <c r="AD1102" t="s">
        <v>72</v>
      </c>
      <c r="AE1102" t="s">
        <v>76</v>
      </c>
      <c r="AF1102" t="s">
        <v>3974</v>
      </c>
      <c r="AG1102" t="s">
        <v>77</v>
      </c>
    </row>
    <row r="1103" spans="1:33" x14ac:dyDescent="0.25">
      <c r="A1103" t="str">
        <f>"1487691564"</f>
        <v>1487691564</v>
      </c>
      <c r="B1103" t="str">
        <f>"02785399"</f>
        <v>02785399</v>
      </c>
      <c r="C1103" t="s">
        <v>7691</v>
      </c>
      <c r="D1103" t="s">
        <v>2194</v>
      </c>
      <c r="E1103" t="s">
        <v>2195</v>
      </c>
      <c r="G1103" t="s">
        <v>7692</v>
      </c>
      <c r="H1103" t="s">
        <v>7693</v>
      </c>
      <c r="J1103" t="s">
        <v>7694</v>
      </c>
      <c r="L1103" t="s">
        <v>80</v>
      </c>
      <c r="M1103" t="s">
        <v>72</v>
      </c>
      <c r="R1103" t="s">
        <v>2196</v>
      </c>
      <c r="W1103" t="s">
        <v>2195</v>
      </c>
      <c r="X1103" t="s">
        <v>169</v>
      </c>
      <c r="Y1103" t="s">
        <v>117</v>
      </c>
      <c r="Z1103" t="s">
        <v>73</v>
      </c>
      <c r="AA1103" t="str">
        <f>"14209-1120"</f>
        <v>14209-1120</v>
      </c>
      <c r="AB1103" t="s">
        <v>74</v>
      </c>
      <c r="AC1103" t="s">
        <v>75</v>
      </c>
      <c r="AD1103" t="s">
        <v>72</v>
      </c>
      <c r="AE1103" t="s">
        <v>76</v>
      </c>
      <c r="AF1103" t="s">
        <v>3974</v>
      </c>
      <c r="AG1103" t="s">
        <v>77</v>
      </c>
    </row>
    <row r="1104" spans="1:33" x14ac:dyDescent="0.25">
      <c r="C1104" t="s">
        <v>7695</v>
      </c>
      <c r="G1104" t="s">
        <v>5635</v>
      </c>
      <c r="H1104" t="s">
        <v>3590</v>
      </c>
      <c r="J1104" t="s">
        <v>3591</v>
      </c>
      <c r="K1104" t="s">
        <v>89</v>
      </c>
      <c r="L1104" t="s">
        <v>90</v>
      </c>
      <c r="M1104" t="s">
        <v>72</v>
      </c>
      <c r="N1104" t="s">
        <v>5636</v>
      </c>
      <c r="O1104" t="s">
        <v>1475</v>
      </c>
      <c r="P1104" t="s">
        <v>73</v>
      </c>
      <c r="Q1104" t="str">
        <f>"14701"</f>
        <v>14701</v>
      </c>
      <c r="AC1104" t="s">
        <v>75</v>
      </c>
      <c r="AD1104" t="s">
        <v>72</v>
      </c>
      <c r="AE1104" t="s">
        <v>91</v>
      </c>
      <c r="AF1104" t="s">
        <v>4059</v>
      </c>
      <c r="AG1104" t="s">
        <v>77</v>
      </c>
    </row>
    <row r="1105" spans="1:33" x14ac:dyDescent="0.25">
      <c r="A1105" t="str">
        <f>"1265665954"</f>
        <v>1265665954</v>
      </c>
      <c r="B1105" t="str">
        <f>"03156952"</f>
        <v>03156952</v>
      </c>
      <c r="C1105" t="s">
        <v>7696</v>
      </c>
      <c r="D1105" t="s">
        <v>3236</v>
      </c>
      <c r="E1105" t="s">
        <v>3235</v>
      </c>
      <c r="G1105" t="s">
        <v>7697</v>
      </c>
      <c r="H1105" t="s">
        <v>3237</v>
      </c>
      <c r="J1105" t="s">
        <v>7698</v>
      </c>
      <c r="L1105" t="s">
        <v>11</v>
      </c>
      <c r="M1105" t="s">
        <v>81</v>
      </c>
      <c r="R1105" t="s">
        <v>3235</v>
      </c>
      <c r="W1105" t="s">
        <v>3235</v>
      </c>
      <c r="X1105" t="s">
        <v>1625</v>
      </c>
      <c r="Y1105" t="s">
        <v>209</v>
      </c>
      <c r="Z1105" t="s">
        <v>73</v>
      </c>
      <c r="AA1105" t="str">
        <f>"14301-1201"</f>
        <v>14301-1201</v>
      </c>
      <c r="AB1105" t="s">
        <v>109</v>
      </c>
      <c r="AC1105" t="s">
        <v>75</v>
      </c>
      <c r="AD1105" t="s">
        <v>72</v>
      </c>
      <c r="AE1105" t="s">
        <v>76</v>
      </c>
      <c r="AF1105" t="s">
        <v>4879</v>
      </c>
      <c r="AG1105" t="s">
        <v>77</v>
      </c>
    </row>
    <row r="1106" spans="1:33" x14ac:dyDescent="0.25">
      <c r="A1106" t="str">
        <f>"1568525418"</f>
        <v>1568525418</v>
      </c>
      <c r="B1106" t="str">
        <f>"00932467"</f>
        <v>00932467</v>
      </c>
      <c r="C1106" t="s">
        <v>7696</v>
      </c>
      <c r="D1106" t="s">
        <v>3860</v>
      </c>
      <c r="E1106" t="s">
        <v>3861</v>
      </c>
      <c r="G1106" t="s">
        <v>7697</v>
      </c>
      <c r="H1106" t="s">
        <v>3237</v>
      </c>
      <c r="J1106" t="s">
        <v>7698</v>
      </c>
      <c r="L1106" t="s">
        <v>107</v>
      </c>
      <c r="M1106" t="s">
        <v>81</v>
      </c>
      <c r="R1106" t="s">
        <v>3862</v>
      </c>
      <c r="W1106" t="s">
        <v>3861</v>
      </c>
      <c r="X1106" t="s">
        <v>108</v>
      </c>
      <c r="Y1106" t="s">
        <v>240</v>
      </c>
      <c r="Z1106" t="s">
        <v>73</v>
      </c>
      <c r="AA1106" t="str">
        <f>"14094-3606"</f>
        <v>14094-3606</v>
      </c>
      <c r="AB1106" t="s">
        <v>109</v>
      </c>
      <c r="AC1106" t="s">
        <v>75</v>
      </c>
      <c r="AD1106" t="s">
        <v>72</v>
      </c>
      <c r="AE1106" t="s">
        <v>76</v>
      </c>
      <c r="AF1106" t="s">
        <v>4879</v>
      </c>
      <c r="AG1106" t="s">
        <v>77</v>
      </c>
    </row>
    <row r="1107" spans="1:33" x14ac:dyDescent="0.25">
      <c r="A1107" t="str">
        <f>"1780848283"</f>
        <v>1780848283</v>
      </c>
      <c r="C1107" t="s">
        <v>7699</v>
      </c>
      <c r="G1107" t="s">
        <v>7700</v>
      </c>
      <c r="H1107" t="s">
        <v>2261</v>
      </c>
      <c r="J1107" t="s">
        <v>7701</v>
      </c>
      <c r="K1107" t="s">
        <v>89</v>
      </c>
      <c r="L1107" t="s">
        <v>92</v>
      </c>
      <c r="M1107" t="s">
        <v>72</v>
      </c>
      <c r="R1107" t="s">
        <v>7702</v>
      </c>
      <c r="S1107" t="s">
        <v>850</v>
      </c>
      <c r="T1107" t="s">
        <v>851</v>
      </c>
      <c r="U1107" t="s">
        <v>73</v>
      </c>
      <c r="V1107" t="str">
        <f>"140479416"</f>
        <v>140479416</v>
      </c>
      <c r="AC1107" t="s">
        <v>75</v>
      </c>
      <c r="AD1107" t="s">
        <v>72</v>
      </c>
      <c r="AE1107" t="s">
        <v>93</v>
      </c>
      <c r="AF1107" t="s">
        <v>4078</v>
      </c>
      <c r="AG1107" t="s">
        <v>77</v>
      </c>
    </row>
    <row r="1108" spans="1:33" x14ac:dyDescent="0.25">
      <c r="C1108" t="s">
        <v>3594</v>
      </c>
      <c r="G1108" t="s">
        <v>3595</v>
      </c>
      <c r="K1108" t="s">
        <v>89</v>
      </c>
      <c r="L1108" t="s">
        <v>90</v>
      </c>
      <c r="M1108" t="s">
        <v>72</v>
      </c>
      <c r="N1108" t="s">
        <v>7703</v>
      </c>
      <c r="O1108" t="s">
        <v>1101</v>
      </c>
      <c r="P1108" t="s">
        <v>73</v>
      </c>
      <c r="AC1108" t="s">
        <v>75</v>
      </c>
      <c r="AD1108" t="s">
        <v>72</v>
      </c>
      <c r="AE1108" t="s">
        <v>91</v>
      </c>
      <c r="AF1108" t="s">
        <v>4059</v>
      </c>
      <c r="AG1108" t="s">
        <v>77</v>
      </c>
    </row>
    <row r="1109" spans="1:33" x14ac:dyDescent="0.25">
      <c r="A1109" t="str">
        <f>"1568603124"</f>
        <v>1568603124</v>
      </c>
      <c r="B1109" t="str">
        <f>"03124623"</f>
        <v>03124623</v>
      </c>
      <c r="C1109" t="s">
        <v>7704</v>
      </c>
      <c r="D1109" t="s">
        <v>3922</v>
      </c>
      <c r="E1109" t="s">
        <v>3921</v>
      </c>
      <c r="G1109" t="s">
        <v>3923</v>
      </c>
      <c r="H1109" t="s">
        <v>3924</v>
      </c>
      <c r="J1109" t="s">
        <v>3925</v>
      </c>
      <c r="L1109" t="s">
        <v>16</v>
      </c>
      <c r="M1109" t="s">
        <v>72</v>
      </c>
      <c r="R1109" t="s">
        <v>3921</v>
      </c>
      <c r="W1109" t="s">
        <v>3921</v>
      </c>
      <c r="X1109" t="s">
        <v>3926</v>
      </c>
      <c r="Y1109" t="s">
        <v>247</v>
      </c>
      <c r="Z1109" t="s">
        <v>73</v>
      </c>
      <c r="AA1109" t="str">
        <f>"14225-4751"</f>
        <v>14225-4751</v>
      </c>
      <c r="AB1109" t="s">
        <v>115</v>
      </c>
      <c r="AC1109" t="s">
        <v>75</v>
      </c>
      <c r="AD1109" t="s">
        <v>72</v>
      </c>
      <c r="AE1109" t="s">
        <v>76</v>
      </c>
      <c r="AF1109" t="s">
        <v>4078</v>
      </c>
      <c r="AG1109" t="s">
        <v>77</v>
      </c>
    </row>
    <row r="1110" spans="1:33" x14ac:dyDescent="0.25">
      <c r="B1110" t="str">
        <f>"03043914"</f>
        <v>03043914</v>
      </c>
      <c r="C1110" t="s">
        <v>7705</v>
      </c>
      <c r="D1110" t="s">
        <v>7706</v>
      </c>
      <c r="E1110" t="s">
        <v>7707</v>
      </c>
      <c r="F1110">
        <v>161017453</v>
      </c>
      <c r="G1110" t="s">
        <v>5517</v>
      </c>
      <c r="H1110" t="s">
        <v>837</v>
      </c>
      <c r="J1110" t="s">
        <v>3685</v>
      </c>
      <c r="L1110" t="s">
        <v>35</v>
      </c>
      <c r="M1110" t="s">
        <v>72</v>
      </c>
      <c r="W1110" t="s">
        <v>7707</v>
      </c>
      <c r="X1110" t="s">
        <v>845</v>
      </c>
      <c r="Y1110" t="s">
        <v>317</v>
      </c>
      <c r="Z1110" t="s">
        <v>73</v>
      </c>
      <c r="AA1110" t="str">
        <f>"14218-1629"</f>
        <v>14218-1629</v>
      </c>
      <c r="AB1110" t="s">
        <v>88</v>
      </c>
      <c r="AC1110" t="s">
        <v>75</v>
      </c>
      <c r="AD1110" t="s">
        <v>72</v>
      </c>
      <c r="AE1110" t="s">
        <v>76</v>
      </c>
      <c r="AF1110" t="s">
        <v>4879</v>
      </c>
      <c r="AG1110" t="s">
        <v>77</v>
      </c>
    </row>
    <row r="1111" spans="1:33" x14ac:dyDescent="0.25">
      <c r="B1111" t="str">
        <f>"03103248"</f>
        <v>03103248</v>
      </c>
      <c r="C1111" t="s">
        <v>7708</v>
      </c>
      <c r="D1111" t="s">
        <v>7709</v>
      </c>
      <c r="E1111" t="s">
        <v>7710</v>
      </c>
      <c r="G1111" t="s">
        <v>5517</v>
      </c>
      <c r="H1111" t="s">
        <v>837</v>
      </c>
      <c r="J1111" t="s">
        <v>3685</v>
      </c>
      <c r="L1111" t="s">
        <v>35</v>
      </c>
      <c r="M1111" t="s">
        <v>72</v>
      </c>
      <c r="W1111" t="s">
        <v>7710</v>
      </c>
      <c r="X1111" t="s">
        <v>7711</v>
      </c>
      <c r="Y1111" t="s">
        <v>317</v>
      </c>
      <c r="Z1111" t="s">
        <v>73</v>
      </c>
      <c r="AA1111" t="str">
        <f>"14218-2708"</f>
        <v>14218-2708</v>
      </c>
      <c r="AB1111" t="s">
        <v>88</v>
      </c>
      <c r="AC1111" t="s">
        <v>75</v>
      </c>
      <c r="AD1111" t="s">
        <v>72</v>
      </c>
      <c r="AE1111" t="s">
        <v>76</v>
      </c>
      <c r="AF1111" t="s">
        <v>4879</v>
      </c>
      <c r="AG1111" t="s">
        <v>77</v>
      </c>
    </row>
    <row r="1112" spans="1:33" x14ac:dyDescent="0.25">
      <c r="A1112" t="str">
        <f>"1124399746"</f>
        <v>1124399746</v>
      </c>
      <c r="B1112" t="str">
        <f>"03523062"</f>
        <v>03523062</v>
      </c>
      <c r="C1112" t="s">
        <v>7712</v>
      </c>
      <c r="D1112" t="s">
        <v>7713</v>
      </c>
      <c r="E1112" t="s">
        <v>7714</v>
      </c>
      <c r="G1112" t="s">
        <v>7715</v>
      </c>
      <c r="H1112" t="s">
        <v>7716</v>
      </c>
      <c r="J1112" t="s">
        <v>3839</v>
      </c>
      <c r="L1112" t="s">
        <v>35</v>
      </c>
      <c r="M1112" t="s">
        <v>72</v>
      </c>
      <c r="R1112" t="s">
        <v>7717</v>
      </c>
      <c r="W1112" t="s">
        <v>7714</v>
      </c>
      <c r="X1112" t="s">
        <v>7718</v>
      </c>
      <c r="Y1112" t="s">
        <v>221</v>
      </c>
      <c r="Z1112" t="s">
        <v>73</v>
      </c>
      <c r="AA1112" t="str">
        <f>"14221-7806"</f>
        <v>14221-7806</v>
      </c>
      <c r="AB1112" t="s">
        <v>118</v>
      </c>
      <c r="AC1112" t="s">
        <v>75</v>
      </c>
      <c r="AD1112" t="s">
        <v>72</v>
      </c>
      <c r="AE1112" t="s">
        <v>76</v>
      </c>
      <c r="AF1112" t="s">
        <v>4078</v>
      </c>
      <c r="AG1112" t="s">
        <v>77</v>
      </c>
    </row>
    <row r="1113" spans="1:33" x14ac:dyDescent="0.25">
      <c r="A1113" t="str">
        <f>"1003225319"</f>
        <v>1003225319</v>
      </c>
      <c r="C1113" t="s">
        <v>7719</v>
      </c>
      <c r="G1113" t="s">
        <v>3461</v>
      </c>
      <c r="H1113" t="s">
        <v>3462</v>
      </c>
      <c r="J1113" t="s">
        <v>7720</v>
      </c>
      <c r="K1113" t="s">
        <v>89</v>
      </c>
      <c r="L1113" t="s">
        <v>92</v>
      </c>
      <c r="M1113" t="s">
        <v>72</v>
      </c>
      <c r="R1113" t="s">
        <v>3463</v>
      </c>
      <c r="S1113" t="s">
        <v>3468</v>
      </c>
      <c r="T1113" t="s">
        <v>117</v>
      </c>
      <c r="U1113" t="s">
        <v>73</v>
      </c>
      <c r="V1113" t="str">
        <f>"142091733"</f>
        <v>142091733</v>
      </c>
      <c r="AC1113" t="s">
        <v>75</v>
      </c>
      <c r="AD1113" t="s">
        <v>72</v>
      </c>
      <c r="AE1113" t="s">
        <v>93</v>
      </c>
      <c r="AF1113" t="s">
        <v>4879</v>
      </c>
      <c r="AG1113" t="s">
        <v>77</v>
      </c>
    </row>
    <row r="1114" spans="1:33" x14ac:dyDescent="0.25">
      <c r="A1114" t="str">
        <f>"1447669742"</f>
        <v>1447669742</v>
      </c>
      <c r="C1114" t="s">
        <v>7721</v>
      </c>
      <c r="G1114" t="s">
        <v>3461</v>
      </c>
      <c r="H1114" t="s">
        <v>3462</v>
      </c>
      <c r="J1114" t="s">
        <v>3465</v>
      </c>
      <c r="K1114" t="s">
        <v>89</v>
      </c>
      <c r="L1114" t="s">
        <v>92</v>
      </c>
      <c r="M1114" t="s">
        <v>72</v>
      </c>
      <c r="R1114" t="s">
        <v>3463</v>
      </c>
      <c r="S1114" t="s">
        <v>3464</v>
      </c>
      <c r="T1114" t="s">
        <v>117</v>
      </c>
      <c r="U1114" t="s">
        <v>73</v>
      </c>
      <c r="V1114" t="str">
        <f>"142131801"</f>
        <v>142131801</v>
      </c>
      <c r="AC1114" t="s">
        <v>75</v>
      </c>
      <c r="AD1114" t="s">
        <v>72</v>
      </c>
      <c r="AE1114" t="s">
        <v>93</v>
      </c>
      <c r="AF1114" t="s">
        <v>4879</v>
      </c>
      <c r="AG1114" t="s">
        <v>77</v>
      </c>
    </row>
    <row r="1115" spans="1:33" x14ac:dyDescent="0.25">
      <c r="A1115" t="str">
        <f>"1881003192"</f>
        <v>1881003192</v>
      </c>
      <c r="B1115" t="str">
        <f>"04591122"</f>
        <v>04591122</v>
      </c>
      <c r="C1115" t="s">
        <v>7722</v>
      </c>
      <c r="D1115" t="s">
        <v>3466</v>
      </c>
      <c r="E1115" t="s">
        <v>3467</v>
      </c>
      <c r="G1115" t="s">
        <v>3461</v>
      </c>
      <c r="H1115" t="s">
        <v>3462</v>
      </c>
      <c r="J1115" t="s">
        <v>7723</v>
      </c>
      <c r="L1115" t="s">
        <v>92</v>
      </c>
      <c r="M1115" t="s">
        <v>72</v>
      </c>
      <c r="R1115" t="s">
        <v>3463</v>
      </c>
      <c r="W1115" t="s">
        <v>3467</v>
      </c>
      <c r="AB1115" t="s">
        <v>88</v>
      </c>
      <c r="AC1115" t="s">
        <v>75</v>
      </c>
      <c r="AD1115" t="s">
        <v>72</v>
      </c>
      <c r="AE1115" t="s">
        <v>76</v>
      </c>
      <c r="AF1115" t="s">
        <v>4879</v>
      </c>
      <c r="AG1115" t="s">
        <v>77</v>
      </c>
    </row>
    <row r="1116" spans="1:33" x14ac:dyDescent="0.25">
      <c r="A1116" t="str">
        <f>"1275942583"</f>
        <v>1275942583</v>
      </c>
      <c r="C1116" t="s">
        <v>7724</v>
      </c>
      <c r="G1116" t="s">
        <v>3461</v>
      </c>
      <c r="H1116" t="s">
        <v>3462</v>
      </c>
      <c r="J1116" t="s">
        <v>7725</v>
      </c>
      <c r="K1116" t="s">
        <v>89</v>
      </c>
      <c r="L1116" t="s">
        <v>92</v>
      </c>
      <c r="M1116" t="s">
        <v>72</v>
      </c>
      <c r="AC1116" t="s">
        <v>75</v>
      </c>
      <c r="AD1116" t="s">
        <v>72</v>
      </c>
      <c r="AE1116" t="s">
        <v>93</v>
      </c>
      <c r="AF1116" t="s">
        <v>4879</v>
      </c>
      <c r="AG1116" t="s">
        <v>77</v>
      </c>
    </row>
    <row r="1117" spans="1:33" x14ac:dyDescent="0.25">
      <c r="A1117" t="str">
        <f>"1891104113"</f>
        <v>1891104113</v>
      </c>
      <c r="C1117" t="s">
        <v>7726</v>
      </c>
      <c r="G1117" t="s">
        <v>3461</v>
      </c>
      <c r="H1117" t="s">
        <v>3462</v>
      </c>
      <c r="J1117" t="s">
        <v>7727</v>
      </c>
      <c r="K1117" t="s">
        <v>89</v>
      </c>
      <c r="L1117" t="s">
        <v>92</v>
      </c>
      <c r="M1117" t="s">
        <v>72</v>
      </c>
      <c r="R1117" t="s">
        <v>3463</v>
      </c>
      <c r="S1117" t="s">
        <v>3469</v>
      </c>
      <c r="T1117" t="s">
        <v>307</v>
      </c>
      <c r="U1117" t="s">
        <v>73</v>
      </c>
      <c r="V1117" t="str">
        <f>"140201227"</f>
        <v>140201227</v>
      </c>
      <c r="AC1117" t="s">
        <v>75</v>
      </c>
      <c r="AD1117" t="s">
        <v>72</v>
      </c>
      <c r="AE1117" t="s">
        <v>93</v>
      </c>
      <c r="AF1117" t="s">
        <v>4879</v>
      </c>
      <c r="AG1117" t="s">
        <v>77</v>
      </c>
    </row>
    <row r="1118" spans="1:33" x14ac:dyDescent="0.25">
      <c r="A1118" t="str">
        <f>"1225437387"</f>
        <v>1225437387</v>
      </c>
      <c r="C1118" t="s">
        <v>7728</v>
      </c>
      <c r="G1118" t="s">
        <v>3461</v>
      </c>
      <c r="H1118" t="s">
        <v>3462</v>
      </c>
      <c r="J1118" t="s">
        <v>7729</v>
      </c>
      <c r="K1118" t="s">
        <v>89</v>
      </c>
      <c r="L1118" t="s">
        <v>92</v>
      </c>
      <c r="M1118" t="s">
        <v>72</v>
      </c>
      <c r="AC1118" t="s">
        <v>75</v>
      </c>
      <c r="AD1118" t="s">
        <v>72</v>
      </c>
      <c r="AE1118" t="s">
        <v>93</v>
      </c>
      <c r="AF1118" t="s">
        <v>4879</v>
      </c>
      <c r="AG1118" t="s">
        <v>77</v>
      </c>
    </row>
    <row r="1119" spans="1:33" x14ac:dyDescent="0.25">
      <c r="A1119" t="str">
        <f>"1780093005"</f>
        <v>1780093005</v>
      </c>
      <c r="C1119" t="s">
        <v>7730</v>
      </c>
      <c r="G1119" t="s">
        <v>3461</v>
      </c>
      <c r="H1119" t="s">
        <v>3462</v>
      </c>
      <c r="J1119" t="s">
        <v>7731</v>
      </c>
      <c r="K1119" t="s">
        <v>89</v>
      </c>
      <c r="L1119" t="s">
        <v>92</v>
      </c>
      <c r="M1119" t="s">
        <v>72</v>
      </c>
      <c r="R1119" t="s">
        <v>3463</v>
      </c>
      <c r="S1119" t="s">
        <v>3470</v>
      </c>
      <c r="T1119" t="s">
        <v>117</v>
      </c>
      <c r="U1119" t="s">
        <v>73</v>
      </c>
      <c r="V1119" t="str">
        <f>"142121366"</f>
        <v>142121366</v>
      </c>
      <c r="AC1119" t="s">
        <v>75</v>
      </c>
      <c r="AD1119" t="s">
        <v>72</v>
      </c>
      <c r="AE1119" t="s">
        <v>93</v>
      </c>
      <c r="AF1119" t="s">
        <v>4879</v>
      </c>
      <c r="AG1119" t="s">
        <v>77</v>
      </c>
    </row>
    <row r="1120" spans="1:33" x14ac:dyDescent="0.25">
      <c r="A1120" t="str">
        <f>"1215346531"</f>
        <v>1215346531</v>
      </c>
      <c r="C1120" t="s">
        <v>7732</v>
      </c>
      <c r="G1120" t="s">
        <v>3461</v>
      </c>
      <c r="H1120" t="s">
        <v>3462</v>
      </c>
      <c r="J1120" t="s">
        <v>7733</v>
      </c>
      <c r="K1120" t="s">
        <v>89</v>
      </c>
      <c r="L1120" t="s">
        <v>92</v>
      </c>
      <c r="M1120" t="s">
        <v>72</v>
      </c>
      <c r="R1120" t="s">
        <v>3463</v>
      </c>
      <c r="S1120" t="s">
        <v>3471</v>
      </c>
      <c r="T1120" t="s">
        <v>2667</v>
      </c>
      <c r="U1120" t="s">
        <v>73</v>
      </c>
      <c r="V1120" t="str">
        <f>"140579526"</f>
        <v>140579526</v>
      </c>
      <c r="AC1120" t="s">
        <v>75</v>
      </c>
      <c r="AD1120" t="s">
        <v>72</v>
      </c>
      <c r="AE1120" t="s">
        <v>93</v>
      </c>
      <c r="AF1120" t="s">
        <v>4879</v>
      </c>
      <c r="AG1120" t="s">
        <v>77</v>
      </c>
    </row>
    <row r="1121" spans="1:33" x14ac:dyDescent="0.25">
      <c r="A1121" t="str">
        <f>"1790781359"</f>
        <v>1790781359</v>
      </c>
      <c r="C1121" t="s">
        <v>7734</v>
      </c>
      <c r="G1121" t="s">
        <v>7735</v>
      </c>
      <c r="H1121" t="s">
        <v>7736</v>
      </c>
      <c r="J1121" t="s">
        <v>7737</v>
      </c>
      <c r="K1121" t="s">
        <v>89</v>
      </c>
      <c r="L1121" t="s">
        <v>92</v>
      </c>
      <c r="M1121" t="s">
        <v>72</v>
      </c>
      <c r="R1121" t="s">
        <v>7738</v>
      </c>
      <c r="S1121" t="s">
        <v>7739</v>
      </c>
      <c r="T1121" t="s">
        <v>206</v>
      </c>
      <c r="U1121" t="s">
        <v>73</v>
      </c>
      <c r="V1121" t="str">
        <f>"140489611"</f>
        <v>140489611</v>
      </c>
      <c r="AC1121" t="s">
        <v>75</v>
      </c>
      <c r="AD1121" t="s">
        <v>72</v>
      </c>
      <c r="AE1121" t="s">
        <v>93</v>
      </c>
      <c r="AF1121" t="s">
        <v>4078</v>
      </c>
      <c r="AG1121" t="s">
        <v>77</v>
      </c>
    </row>
    <row r="1122" spans="1:33" x14ac:dyDescent="0.25">
      <c r="B1122" t="str">
        <f>"02246922"</f>
        <v>02246922</v>
      </c>
      <c r="C1122" t="s">
        <v>7740</v>
      </c>
      <c r="D1122" t="s">
        <v>7741</v>
      </c>
      <c r="E1122" t="s">
        <v>7742</v>
      </c>
      <c r="F1122">
        <v>161096096</v>
      </c>
      <c r="G1122" t="s">
        <v>7700</v>
      </c>
      <c r="H1122" t="s">
        <v>2261</v>
      </c>
      <c r="J1122" t="s">
        <v>7743</v>
      </c>
      <c r="L1122" t="s">
        <v>35</v>
      </c>
      <c r="M1122" t="s">
        <v>81</v>
      </c>
      <c r="W1122" t="s">
        <v>7742</v>
      </c>
      <c r="X1122" t="s">
        <v>189</v>
      </c>
      <c r="Y1122" t="s">
        <v>851</v>
      </c>
      <c r="Z1122" t="s">
        <v>73</v>
      </c>
      <c r="AA1122" t="str">
        <f>"14047-9778"</f>
        <v>14047-9778</v>
      </c>
      <c r="AB1122" t="s">
        <v>88</v>
      </c>
      <c r="AC1122" t="s">
        <v>75</v>
      </c>
      <c r="AD1122" t="s">
        <v>72</v>
      </c>
      <c r="AE1122" t="s">
        <v>76</v>
      </c>
      <c r="AF1122" t="s">
        <v>4078</v>
      </c>
      <c r="AG1122" t="s">
        <v>77</v>
      </c>
    </row>
    <row r="1123" spans="1:33" x14ac:dyDescent="0.25">
      <c r="B1123" t="str">
        <f>"03027956"</f>
        <v>03027956</v>
      </c>
      <c r="C1123" t="s">
        <v>7740</v>
      </c>
      <c r="D1123" t="s">
        <v>7744</v>
      </c>
      <c r="E1123" t="s">
        <v>7745</v>
      </c>
      <c r="F1123">
        <v>161096096</v>
      </c>
      <c r="G1123" t="s">
        <v>7700</v>
      </c>
      <c r="H1123" t="s">
        <v>2261</v>
      </c>
      <c r="J1123" t="s">
        <v>7743</v>
      </c>
      <c r="L1123" t="s">
        <v>35</v>
      </c>
      <c r="M1123" t="s">
        <v>81</v>
      </c>
      <c r="W1123" t="s">
        <v>7745</v>
      </c>
      <c r="X1123" t="s">
        <v>7746</v>
      </c>
      <c r="Y1123" t="s">
        <v>851</v>
      </c>
      <c r="Z1123" t="s">
        <v>73</v>
      </c>
      <c r="AA1123" t="str">
        <f>"14047-9615"</f>
        <v>14047-9615</v>
      </c>
      <c r="AB1123" t="s">
        <v>88</v>
      </c>
      <c r="AC1123" t="s">
        <v>75</v>
      </c>
      <c r="AD1123" t="s">
        <v>72</v>
      </c>
      <c r="AE1123" t="s">
        <v>76</v>
      </c>
      <c r="AF1123" t="s">
        <v>4078</v>
      </c>
      <c r="AG1123" t="s">
        <v>77</v>
      </c>
    </row>
    <row r="1124" spans="1:33" x14ac:dyDescent="0.25">
      <c r="B1124" t="str">
        <f>"02595893"</f>
        <v>02595893</v>
      </c>
      <c r="C1124" t="s">
        <v>7740</v>
      </c>
      <c r="D1124" t="s">
        <v>7747</v>
      </c>
      <c r="E1124" t="s">
        <v>7748</v>
      </c>
      <c r="F1124">
        <v>161096096</v>
      </c>
      <c r="G1124" t="s">
        <v>7700</v>
      </c>
      <c r="H1124" t="s">
        <v>2261</v>
      </c>
      <c r="J1124" t="s">
        <v>7743</v>
      </c>
      <c r="L1124" t="s">
        <v>35</v>
      </c>
      <c r="M1124" t="s">
        <v>81</v>
      </c>
      <c r="W1124" t="s">
        <v>7748</v>
      </c>
      <c r="X1124" t="s">
        <v>7749</v>
      </c>
      <c r="Y1124" t="s">
        <v>851</v>
      </c>
      <c r="Z1124" t="s">
        <v>73</v>
      </c>
      <c r="AA1124" t="str">
        <f>"14047-9778"</f>
        <v>14047-9778</v>
      </c>
      <c r="AB1124" t="s">
        <v>88</v>
      </c>
      <c r="AC1124" t="s">
        <v>75</v>
      </c>
      <c r="AD1124" t="s">
        <v>72</v>
      </c>
      <c r="AE1124" t="s">
        <v>76</v>
      </c>
      <c r="AF1124" t="s">
        <v>4078</v>
      </c>
      <c r="AG1124" t="s">
        <v>77</v>
      </c>
    </row>
    <row r="1125" spans="1:33" x14ac:dyDescent="0.25">
      <c r="B1125" t="str">
        <f>"02246353"</f>
        <v>02246353</v>
      </c>
      <c r="C1125" t="s">
        <v>7740</v>
      </c>
      <c r="D1125" t="s">
        <v>7750</v>
      </c>
      <c r="E1125" t="s">
        <v>7751</v>
      </c>
      <c r="F1125">
        <v>161096096</v>
      </c>
      <c r="G1125" t="s">
        <v>7700</v>
      </c>
      <c r="H1125" t="s">
        <v>2261</v>
      </c>
      <c r="J1125" t="s">
        <v>7743</v>
      </c>
      <c r="L1125" t="s">
        <v>35</v>
      </c>
      <c r="M1125" t="s">
        <v>81</v>
      </c>
      <c r="W1125" t="s">
        <v>7751</v>
      </c>
      <c r="X1125" t="s">
        <v>101</v>
      </c>
      <c r="Y1125" t="s">
        <v>851</v>
      </c>
      <c r="Z1125" t="s">
        <v>73</v>
      </c>
      <c r="AA1125" t="str">
        <f>"14047-9778"</f>
        <v>14047-9778</v>
      </c>
      <c r="AB1125" t="s">
        <v>88</v>
      </c>
      <c r="AC1125" t="s">
        <v>75</v>
      </c>
      <c r="AD1125" t="s">
        <v>72</v>
      </c>
      <c r="AE1125" t="s">
        <v>76</v>
      </c>
      <c r="AF1125" t="s">
        <v>4078</v>
      </c>
      <c r="AG1125" t="s">
        <v>77</v>
      </c>
    </row>
    <row r="1126" spans="1:33" x14ac:dyDescent="0.25">
      <c r="B1126" t="str">
        <f>"02600053"</f>
        <v>02600053</v>
      </c>
      <c r="C1126" t="s">
        <v>7740</v>
      </c>
      <c r="D1126" t="s">
        <v>7752</v>
      </c>
      <c r="E1126" t="s">
        <v>7753</v>
      </c>
      <c r="F1126">
        <v>161096096</v>
      </c>
      <c r="G1126" t="s">
        <v>7700</v>
      </c>
      <c r="H1126" t="s">
        <v>2261</v>
      </c>
      <c r="J1126" t="s">
        <v>7743</v>
      </c>
      <c r="L1126" t="s">
        <v>35</v>
      </c>
      <c r="M1126" t="s">
        <v>81</v>
      </c>
      <c r="W1126" t="s">
        <v>7753</v>
      </c>
      <c r="X1126" t="s">
        <v>208</v>
      </c>
      <c r="Y1126" t="s">
        <v>851</v>
      </c>
      <c r="Z1126" t="s">
        <v>73</v>
      </c>
      <c r="AA1126" t="str">
        <f>"14047-9778"</f>
        <v>14047-9778</v>
      </c>
      <c r="AB1126" t="s">
        <v>88</v>
      </c>
      <c r="AC1126" t="s">
        <v>75</v>
      </c>
      <c r="AD1126" t="s">
        <v>72</v>
      </c>
      <c r="AE1126" t="s">
        <v>76</v>
      </c>
      <c r="AF1126" t="s">
        <v>4078</v>
      </c>
      <c r="AG1126" t="s">
        <v>77</v>
      </c>
    </row>
    <row r="1127" spans="1:33" x14ac:dyDescent="0.25">
      <c r="B1127" t="str">
        <f>"02256013"</f>
        <v>02256013</v>
      </c>
      <c r="C1127" t="s">
        <v>7740</v>
      </c>
      <c r="D1127" t="s">
        <v>7754</v>
      </c>
      <c r="E1127" t="s">
        <v>7755</v>
      </c>
      <c r="F1127">
        <v>161096096</v>
      </c>
      <c r="G1127" t="s">
        <v>7700</v>
      </c>
      <c r="H1127" t="s">
        <v>2261</v>
      </c>
      <c r="J1127" t="s">
        <v>7743</v>
      </c>
      <c r="L1127" t="s">
        <v>35</v>
      </c>
      <c r="M1127" t="s">
        <v>81</v>
      </c>
      <c r="W1127" t="s">
        <v>7755</v>
      </c>
      <c r="X1127" t="s">
        <v>190</v>
      </c>
      <c r="Y1127" t="s">
        <v>851</v>
      </c>
      <c r="Z1127" t="s">
        <v>73</v>
      </c>
      <c r="AA1127" t="str">
        <f>"14047-9416"</f>
        <v>14047-9416</v>
      </c>
      <c r="AB1127" t="s">
        <v>88</v>
      </c>
      <c r="AC1127" t="s">
        <v>75</v>
      </c>
      <c r="AD1127" t="s">
        <v>72</v>
      </c>
      <c r="AE1127" t="s">
        <v>76</v>
      </c>
      <c r="AF1127" t="s">
        <v>4078</v>
      </c>
      <c r="AG1127" t="s">
        <v>77</v>
      </c>
    </row>
    <row r="1128" spans="1:33" x14ac:dyDescent="0.25">
      <c r="A1128" t="str">
        <f>"1922073774"</f>
        <v>1922073774</v>
      </c>
      <c r="B1128" t="str">
        <f>"01465154"</f>
        <v>01465154</v>
      </c>
      <c r="C1128" t="s">
        <v>7756</v>
      </c>
      <c r="D1128" t="s">
        <v>495</v>
      </c>
      <c r="E1128" t="s">
        <v>496</v>
      </c>
      <c r="F1128">
        <v>160975538</v>
      </c>
      <c r="G1128" t="s">
        <v>3897</v>
      </c>
      <c r="H1128" t="s">
        <v>7757</v>
      </c>
      <c r="J1128" t="s">
        <v>7758</v>
      </c>
      <c r="L1128" t="s">
        <v>106</v>
      </c>
      <c r="M1128" t="s">
        <v>81</v>
      </c>
      <c r="R1128" t="s">
        <v>493</v>
      </c>
      <c r="W1128" t="s">
        <v>496</v>
      </c>
      <c r="X1128" t="s">
        <v>497</v>
      </c>
      <c r="Y1128" t="s">
        <v>117</v>
      </c>
      <c r="Z1128" t="s">
        <v>73</v>
      </c>
      <c r="AA1128" t="str">
        <f>"14207-1910"</f>
        <v>14207-1910</v>
      </c>
      <c r="AB1128" t="s">
        <v>109</v>
      </c>
      <c r="AC1128" t="s">
        <v>75</v>
      </c>
      <c r="AD1128" t="s">
        <v>72</v>
      </c>
      <c r="AE1128" t="s">
        <v>76</v>
      </c>
      <c r="AF1128" t="s">
        <v>4059</v>
      </c>
      <c r="AG1128" t="s">
        <v>77</v>
      </c>
    </row>
    <row r="1129" spans="1:33" x14ac:dyDescent="0.25">
      <c r="B1129" t="str">
        <f>"03395053"</f>
        <v>03395053</v>
      </c>
      <c r="C1129" t="s">
        <v>7759</v>
      </c>
      <c r="D1129" t="s">
        <v>3309</v>
      </c>
      <c r="E1129" t="s">
        <v>3308</v>
      </c>
      <c r="F1129">
        <v>160769044</v>
      </c>
      <c r="G1129" t="s">
        <v>7760</v>
      </c>
      <c r="H1129" t="s">
        <v>3378</v>
      </c>
      <c r="J1129" t="s">
        <v>7761</v>
      </c>
      <c r="L1129" t="s">
        <v>92</v>
      </c>
      <c r="M1129" t="s">
        <v>81</v>
      </c>
      <c r="W1129" t="s">
        <v>3308</v>
      </c>
      <c r="X1129" t="s">
        <v>870</v>
      </c>
      <c r="Y1129" t="s">
        <v>117</v>
      </c>
      <c r="Z1129" t="s">
        <v>73</v>
      </c>
      <c r="AA1129" t="str">
        <f>"14203-2233"</f>
        <v>14203-2233</v>
      </c>
      <c r="AB1129" t="s">
        <v>116</v>
      </c>
      <c r="AC1129" t="s">
        <v>75</v>
      </c>
      <c r="AD1129" t="s">
        <v>72</v>
      </c>
      <c r="AE1129" t="s">
        <v>76</v>
      </c>
      <c r="AF1129" t="s">
        <v>4059</v>
      </c>
      <c r="AG1129" t="s">
        <v>77</v>
      </c>
    </row>
    <row r="1130" spans="1:33" x14ac:dyDescent="0.25">
      <c r="A1130" t="str">
        <f>"1184887853"</f>
        <v>1184887853</v>
      </c>
      <c r="B1130" t="str">
        <f>"03404693"</f>
        <v>03404693</v>
      </c>
      <c r="C1130" t="s">
        <v>7762</v>
      </c>
      <c r="D1130" t="s">
        <v>7763</v>
      </c>
      <c r="E1130" t="s">
        <v>7764</v>
      </c>
      <c r="G1130" t="s">
        <v>4883</v>
      </c>
      <c r="H1130" t="s">
        <v>3216</v>
      </c>
      <c r="J1130" t="s">
        <v>4884</v>
      </c>
      <c r="L1130" t="s">
        <v>79</v>
      </c>
      <c r="M1130" t="s">
        <v>81</v>
      </c>
      <c r="R1130" t="s">
        <v>7764</v>
      </c>
      <c r="W1130" t="s">
        <v>7764</v>
      </c>
      <c r="X1130" t="s">
        <v>187</v>
      </c>
      <c r="Y1130" t="s">
        <v>188</v>
      </c>
      <c r="Z1130" t="s">
        <v>73</v>
      </c>
      <c r="AA1130" t="str">
        <f>"14092-1903"</f>
        <v>14092-1903</v>
      </c>
      <c r="AB1130" t="s">
        <v>74</v>
      </c>
      <c r="AC1130" t="s">
        <v>75</v>
      </c>
      <c r="AD1130" t="s">
        <v>72</v>
      </c>
      <c r="AE1130" t="s">
        <v>76</v>
      </c>
      <c r="AF1130" t="s">
        <v>3961</v>
      </c>
      <c r="AG1130" t="s">
        <v>77</v>
      </c>
    </row>
    <row r="1131" spans="1:33" x14ac:dyDescent="0.25">
      <c r="A1131" t="str">
        <f>"1699783324"</f>
        <v>1699783324</v>
      </c>
      <c r="B1131" t="str">
        <f>"02589164"</f>
        <v>02589164</v>
      </c>
      <c r="C1131" t="s">
        <v>7765</v>
      </c>
      <c r="D1131" t="s">
        <v>1776</v>
      </c>
      <c r="E1131" t="s">
        <v>1777</v>
      </c>
      <c r="G1131" t="s">
        <v>5431</v>
      </c>
      <c r="H1131" t="s">
        <v>1046</v>
      </c>
      <c r="J1131" t="s">
        <v>5432</v>
      </c>
      <c r="L1131" t="s">
        <v>79</v>
      </c>
      <c r="M1131" t="s">
        <v>72</v>
      </c>
      <c r="R1131" t="s">
        <v>1778</v>
      </c>
      <c r="W1131" t="s">
        <v>1777</v>
      </c>
      <c r="X1131" t="s">
        <v>288</v>
      </c>
      <c r="Y1131" t="s">
        <v>111</v>
      </c>
      <c r="Z1131" t="s">
        <v>73</v>
      </c>
      <c r="AA1131" t="str">
        <f>"14621-3001"</f>
        <v>14621-3001</v>
      </c>
      <c r="AB1131" t="s">
        <v>74</v>
      </c>
      <c r="AC1131" t="s">
        <v>75</v>
      </c>
      <c r="AD1131" t="s">
        <v>72</v>
      </c>
      <c r="AE1131" t="s">
        <v>76</v>
      </c>
      <c r="AF1131" t="s">
        <v>3974</v>
      </c>
      <c r="AG1131" t="s">
        <v>77</v>
      </c>
    </row>
    <row r="1132" spans="1:33" x14ac:dyDescent="0.25">
      <c r="A1132" t="str">
        <f>"1861487498"</f>
        <v>1861487498</v>
      </c>
      <c r="B1132" t="str">
        <f>"01487076"</f>
        <v>01487076</v>
      </c>
      <c r="C1132" t="s">
        <v>7766</v>
      </c>
      <c r="D1132" t="s">
        <v>7767</v>
      </c>
      <c r="E1132" t="s">
        <v>7768</v>
      </c>
      <c r="G1132" t="s">
        <v>4768</v>
      </c>
      <c r="H1132" t="s">
        <v>4769</v>
      </c>
      <c r="J1132" t="s">
        <v>4770</v>
      </c>
      <c r="L1132" t="s">
        <v>97</v>
      </c>
      <c r="M1132" t="s">
        <v>81</v>
      </c>
      <c r="R1132" t="s">
        <v>7769</v>
      </c>
      <c r="W1132" t="s">
        <v>7768</v>
      </c>
      <c r="X1132" t="s">
        <v>7770</v>
      </c>
      <c r="Y1132" t="s">
        <v>326</v>
      </c>
      <c r="Z1132" t="s">
        <v>73</v>
      </c>
      <c r="AA1132" t="str">
        <f>"14127-4841"</f>
        <v>14127-4841</v>
      </c>
      <c r="AB1132" t="s">
        <v>98</v>
      </c>
      <c r="AC1132" t="s">
        <v>75</v>
      </c>
      <c r="AD1132" t="s">
        <v>72</v>
      </c>
      <c r="AE1132" t="s">
        <v>76</v>
      </c>
      <c r="AF1132" t="s">
        <v>4078</v>
      </c>
      <c r="AG1132" t="s">
        <v>77</v>
      </c>
    </row>
    <row r="1133" spans="1:33" x14ac:dyDescent="0.25">
      <c r="A1133" t="str">
        <f>"1518930965"</f>
        <v>1518930965</v>
      </c>
      <c r="B1133" t="str">
        <f>"01185097"</f>
        <v>01185097</v>
      </c>
      <c r="C1133" t="s">
        <v>7771</v>
      </c>
      <c r="D1133" t="s">
        <v>7772</v>
      </c>
      <c r="E1133" t="s">
        <v>7773</v>
      </c>
      <c r="G1133" t="s">
        <v>7771</v>
      </c>
      <c r="H1133" t="s">
        <v>7774</v>
      </c>
      <c r="J1133" t="s">
        <v>7775</v>
      </c>
      <c r="L1133" t="s">
        <v>79</v>
      </c>
      <c r="M1133" t="s">
        <v>72</v>
      </c>
      <c r="R1133" t="s">
        <v>7776</v>
      </c>
      <c r="W1133" t="s">
        <v>7773</v>
      </c>
      <c r="X1133" t="s">
        <v>301</v>
      </c>
      <c r="Y1133" t="s">
        <v>117</v>
      </c>
      <c r="Z1133" t="s">
        <v>73</v>
      </c>
      <c r="AA1133" t="str">
        <f>"14214-2648"</f>
        <v>14214-2648</v>
      </c>
      <c r="AB1133" t="s">
        <v>74</v>
      </c>
      <c r="AC1133" t="s">
        <v>75</v>
      </c>
      <c r="AD1133" t="s">
        <v>72</v>
      </c>
      <c r="AE1133" t="s">
        <v>76</v>
      </c>
      <c r="AF1133" t="s">
        <v>3974</v>
      </c>
      <c r="AG1133" t="s">
        <v>77</v>
      </c>
    </row>
    <row r="1134" spans="1:33" x14ac:dyDescent="0.25">
      <c r="A1134" t="str">
        <f>"1043259997"</f>
        <v>1043259997</v>
      </c>
      <c r="B1134" t="str">
        <f>"00346754"</f>
        <v>00346754</v>
      </c>
      <c r="C1134" t="s">
        <v>5823</v>
      </c>
      <c r="D1134" t="s">
        <v>5824</v>
      </c>
      <c r="E1134" t="s">
        <v>5825</v>
      </c>
      <c r="G1134" t="s">
        <v>4768</v>
      </c>
      <c r="H1134" t="s">
        <v>4769</v>
      </c>
      <c r="J1134" t="s">
        <v>4770</v>
      </c>
      <c r="L1134" t="s">
        <v>1826</v>
      </c>
      <c r="M1134" t="s">
        <v>72</v>
      </c>
      <c r="R1134" t="s">
        <v>7295</v>
      </c>
      <c r="W1134" t="s">
        <v>5825</v>
      </c>
      <c r="X1134" t="s">
        <v>301</v>
      </c>
      <c r="Y1134" t="s">
        <v>117</v>
      </c>
      <c r="Z1134" t="s">
        <v>73</v>
      </c>
      <c r="AA1134" t="str">
        <f>"14214-2648"</f>
        <v>14214-2648</v>
      </c>
      <c r="AB1134" t="s">
        <v>86</v>
      </c>
      <c r="AC1134" t="s">
        <v>75</v>
      </c>
      <c r="AD1134" t="s">
        <v>72</v>
      </c>
      <c r="AE1134" t="s">
        <v>76</v>
      </c>
      <c r="AF1134" t="s">
        <v>4078</v>
      </c>
      <c r="AG1134" t="s">
        <v>77</v>
      </c>
    </row>
    <row r="1135" spans="1:33" x14ac:dyDescent="0.25">
      <c r="C1135" t="s">
        <v>7777</v>
      </c>
      <c r="G1135" t="s">
        <v>4768</v>
      </c>
      <c r="H1135" t="s">
        <v>4769</v>
      </c>
      <c r="J1135" t="s">
        <v>4770</v>
      </c>
      <c r="K1135" t="s">
        <v>89</v>
      </c>
      <c r="L1135" t="s">
        <v>90</v>
      </c>
      <c r="M1135" t="s">
        <v>72</v>
      </c>
      <c r="N1135" t="s">
        <v>7778</v>
      </c>
      <c r="O1135" t="s">
        <v>3550</v>
      </c>
      <c r="P1135" t="s">
        <v>73</v>
      </c>
      <c r="Q1135" t="str">
        <f>"14086"</f>
        <v>14086</v>
      </c>
      <c r="AC1135" t="s">
        <v>75</v>
      </c>
      <c r="AD1135" t="s">
        <v>72</v>
      </c>
      <c r="AE1135" t="s">
        <v>91</v>
      </c>
      <c r="AF1135" t="s">
        <v>4078</v>
      </c>
      <c r="AG1135" t="s">
        <v>77</v>
      </c>
    </row>
    <row r="1136" spans="1:33" x14ac:dyDescent="0.25">
      <c r="C1136" t="s">
        <v>7779</v>
      </c>
      <c r="G1136" t="s">
        <v>7780</v>
      </c>
      <c r="H1136" t="s">
        <v>4769</v>
      </c>
      <c r="J1136" t="s">
        <v>4770</v>
      </c>
      <c r="K1136" t="s">
        <v>89</v>
      </c>
      <c r="L1136" t="s">
        <v>90</v>
      </c>
      <c r="M1136" t="s">
        <v>72</v>
      </c>
      <c r="N1136" t="s">
        <v>7781</v>
      </c>
      <c r="O1136" t="s">
        <v>7782</v>
      </c>
      <c r="P1136" t="s">
        <v>73</v>
      </c>
      <c r="Q1136" t="str">
        <f>"14048"</f>
        <v>14048</v>
      </c>
      <c r="AC1136" t="s">
        <v>75</v>
      </c>
      <c r="AD1136" t="s">
        <v>72</v>
      </c>
      <c r="AE1136" t="s">
        <v>91</v>
      </c>
      <c r="AF1136" t="s">
        <v>4078</v>
      </c>
      <c r="AG1136" t="s">
        <v>77</v>
      </c>
    </row>
    <row r="1137" spans="1:33" x14ac:dyDescent="0.25">
      <c r="A1137" t="str">
        <f>"1386649721"</f>
        <v>1386649721</v>
      </c>
      <c r="B1137" t="str">
        <f>"00691263"</f>
        <v>00691263</v>
      </c>
      <c r="C1137" t="s">
        <v>7783</v>
      </c>
      <c r="D1137" t="s">
        <v>1314</v>
      </c>
      <c r="E1137" t="s">
        <v>1315</v>
      </c>
      <c r="G1137" t="s">
        <v>7783</v>
      </c>
      <c r="H1137" t="s">
        <v>368</v>
      </c>
      <c r="J1137" t="s">
        <v>7784</v>
      </c>
      <c r="L1137" t="s">
        <v>80</v>
      </c>
      <c r="M1137" t="s">
        <v>72</v>
      </c>
      <c r="R1137" t="s">
        <v>1316</v>
      </c>
      <c r="W1137" t="s">
        <v>1315</v>
      </c>
      <c r="X1137" t="s">
        <v>374</v>
      </c>
      <c r="Y1137" t="s">
        <v>221</v>
      </c>
      <c r="Z1137" t="s">
        <v>73</v>
      </c>
      <c r="AA1137" t="str">
        <f>"14221-5771"</f>
        <v>14221-5771</v>
      </c>
      <c r="AB1137" t="s">
        <v>74</v>
      </c>
      <c r="AC1137" t="s">
        <v>75</v>
      </c>
      <c r="AD1137" t="s">
        <v>72</v>
      </c>
      <c r="AE1137" t="s">
        <v>76</v>
      </c>
      <c r="AG1137" t="s">
        <v>77</v>
      </c>
    </row>
    <row r="1138" spans="1:33" x14ac:dyDescent="0.25">
      <c r="A1138" t="str">
        <f>"1396794939"</f>
        <v>1396794939</v>
      </c>
      <c r="B1138" t="str">
        <f>"00845969"</f>
        <v>00845969</v>
      </c>
      <c r="C1138" t="s">
        <v>7785</v>
      </c>
      <c r="D1138" t="s">
        <v>1439</v>
      </c>
      <c r="E1138" t="s">
        <v>1440</v>
      </c>
      <c r="G1138" t="s">
        <v>4014</v>
      </c>
      <c r="H1138" t="s">
        <v>750</v>
      </c>
      <c r="J1138" t="s">
        <v>4015</v>
      </c>
      <c r="L1138" t="s">
        <v>79</v>
      </c>
      <c r="M1138" t="s">
        <v>72</v>
      </c>
      <c r="R1138" t="s">
        <v>1441</v>
      </c>
      <c r="W1138" t="s">
        <v>1440</v>
      </c>
      <c r="X1138" t="s">
        <v>1442</v>
      </c>
      <c r="Y1138" t="s">
        <v>373</v>
      </c>
      <c r="Z1138" t="s">
        <v>73</v>
      </c>
      <c r="AA1138" t="str">
        <f>"14004-1223"</f>
        <v>14004-1223</v>
      </c>
      <c r="AB1138" t="s">
        <v>74</v>
      </c>
      <c r="AC1138" t="s">
        <v>75</v>
      </c>
      <c r="AD1138" t="s">
        <v>72</v>
      </c>
      <c r="AE1138" t="s">
        <v>76</v>
      </c>
      <c r="AF1138" t="s">
        <v>3974</v>
      </c>
      <c r="AG1138" t="s">
        <v>77</v>
      </c>
    </row>
    <row r="1139" spans="1:33" x14ac:dyDescent="0.25">
      <c r="A1139" t="str">
        <f>"1144558057"</f>
        <v>1144558057</v>
      </c>
      <c r="B1139" t="str">
        <f>"03572492"</f>
        <v>03572492</v>
      </c>
      <c r="C1139" t="s">
        <v>7786</v>
      </c>
      <c r="D1139" t="s">
        <v>7787</v>
      </c>
      <c r="E1139" t="s">
        <v>7788</v>
      </c>
      <c r="G1139" t="s">
        <v>4762</v>
      </c>
      <c r="H1139" t="s">
        <v>4763</v>
      </c>
      <c r="J1139" t="s">
        <v>4764</v>
      </c>
      <c r="L1139" t="s">
        <v>79</v>
      </c>
      <c r="M1139" t="s">
        <v>72</v>
      </c>
      <c r="R1139" t="s">
        <v>7788</v>
      </c>
      <c r="W1139" t="s">
        <v>7788</v>
      </c>
      <c r="X1139" t="s">
        <v>1161</v>
      </c>
      <c r="Y1139" t="s">
        <v>1079</v>
      </c>
      <c r="Z1139" t="s">
        <v>73</v>
      </c>
      <c r="AA1139" t="str">
        <f>"14075-5835"</f>
        <v>14075-5835</v>
      </c>
      <c r="AB1139" t="s">
        <v>74</v>
      </c>
      <c r="AC1139" t="s">
        <v>75</v>
      </c>
      <c r="AD1139" t="s">
        <v>72</v>
      </c>
      <c r="AE1139" t="s">
        <v>76</v>
      </c>
      <c r="AF1139" t="s">
        <v>3974</v>
      </c>
      <c r="AG1139" t="s">
        <v>77</v>
      </c>
    </row>
    <row r="1140" spans="1:33" x14ac:dyDescent="0.25">
      <c r="A1140" t="str">
        <f>"1013966647"</f>
        <v>1013966647</v>
      </c>
      <c r="B1140" t="str">
        <f>"01899054"</f>
        <v>01899054</v>
      </c>
      <c r="C1140" t="s">
        <v>7789</v>
      </c>
      <c r="D1140" t="s">
        <v>1925</v>
      </c>
      <c r="E1140" t="s">
        <v>1926</v>
      </c>
      <c r="G1140" t="s">
        <v>6164</v>
      </c>
      <c r="H1140" t="s">
        <v>6165</v>
      </c>
      <c r="J1140" t="s">
        <v>6166</v>
      </c>
      <c r="L1140" t="s">
        <v>71</v>
      </c>
      <c r="M1140" t="s">
        <v>72</v>
      </c>
      <c r="R1140" t="s">
        <v>1928</v>
      </c>
      <c r="W1140" t="s">
        <v>1926</v>
      </c>
      <c r="X1140" t="s">
        <v>1049</v>
      </c>
      <c r="Y1140" t="s">
        <v>247</v>
      </c>
      <c r="Z1140" t="s">
        <v>73</v>
      </c>
      <c r="AA1140" t="str">
        <f>"14227-1461"</f>
        <v>14227-1461</v>
      </c>
      <c r="AB1140" t="s">
        <v>74</v>
      </c>
      <c r="AC1140" t="s">
        <v>75</v>
      </c>
      <c r="AD1140" t="s">
        <v>72</v>
      </c>
      <c r="AE1140" t="s">
        <v>76</v>
      </c>
      <c r="AF1140" t="s">
        <v>3974</v>
      </c>
      <c r="AG1140" t="s">
        <v>77</v>
      </c>
    </row>
    <row r="1141" spans="1:33" x14ac:dyDescent="0.25">
      <c r="A1141" t="str">
        <f>"1477512739"</f>
        <v>1477512739</v>
      </c>
      <c r="B1141" t="str">
        <f>"00459421"</f>
        <v>00459421</v>
      </c>
      <c r="C1141" t="s">
        <v>7790</v>
      </c>
      <c r="D1141" t="s">
        <v>7791</v>
      </c>
      <c r="E1141" t="s">
        <v>7792</v>
      </c>
      <c r="G1141" t="s">
        <v>5010</v>
      </c>
      <c r="H1141" t="s">
        <v>1119</v>
      </c>
      <c r="J1141" t="s">
        <v>5011</v>
      </c>
      <c r="L1141" t="s">
        <v>79</v>
      </c>
      <c r="M1141" t="s">
        <v>72</v>
      </c>
      <c r="R1141" t="s">
        <v>7793</v>
      </c>
      <c r="W1141" t="s">
        <v>7792</v>
      </c>
      <c r="X1141" t="s">
        <v>3522</v>
      </c>
      <c r="Y1141" t="s">
        <v>117</v>
      </c>
      <c r="Z1141" t="s">
        <v>73</v>
      </c>
      <c r="AA1141" t="str">
        <f>"14215-1713"</f>
        <v>14215-1713</v>
      </c>
      <c r="AB1141" t="s">
        <v>74</v>
      </c>
      <c r="AC1141" t="s">
        <v>75</v>
      </c>
      <c r="AD1141" t="s">
        <v>72</v>
      </c>
      <c r="AE1141" t="s">
        <v>76</v>
      </c>
      <c r="AF1141" t="s">
        <v>3974</v>
      </c>
      <c r="AG1141" t="s">
        <v>77</v>
      </c>
    </row>
    <row r="1142" spans="1:33" x14ac:dyDescent="0.25">
      <c r="A1142" t="str">
        <f>"1104861178"</f>
        <v>1104861178</v>
      </c>
      <c r="B1142" t="str">
        <f>"02311044"</f>
        <v>02311044</v>
      </c>
      <c r="C1142" t="s">
        <v>7794</v>
      </c>
      <c r="D1142" t="s">
        <v>7795</v>
      </c>
      <c r="E1142" t="s">
        <v>7796</v>
      </c>
      <c r="G1142" t="s">
        <v>7797</v>
      </c>
      <c r="H1142" t="s">
        <v>7798</v>
      </c>
      <c r="J1142" t="s">
        <v>7799</v>
      </c>
      <c r="L1142" t="s">
        <v>71</v>
      </c>
      <c r="M1142" t="s">
        <v>72</v>
      </c>
      <c r="R1142" t="s">
        <v>7800</v>
      </c>
      <c r="W1142" t="s">
        <v>7800</v>
      </c>
      <c r="X1142" t="s">
        <v>1392</v>
      </c>
      <c r="Y1142" t="s">
        <v>117</v>
      </c>
      <c r="Z1142" t="s">
        <v>73</v>
      </c>
      <c r="AA1142" t="str">
        <f>"14220-1700"</f>
        <v>14220-1700</v>
      </c>
      <c r="AB1142" t="s">
        <v>74</v>
      </c>
      <c r="AC1142" t="s">
        <v>75</v>
      </c>
      <c r="AD1142" t="s">
        <v>72</v>
      </c>
      <c r="AE1142" t="s">
        <v>76</v>
      </c>
      <c r="AF1142" t="s">
        <v>3974</v>
      </c>
      <c r="AG1142" t="s">
        <v>77</v>
      </c>
    </row>
    <row r="1143" spans="1:33" x14ac:dyDescent="0.25">
      <c r="A1143" t="str">
        <f>"1720088081"</f>
        <v>1720088081</v>
      </c>
      <c r="B1143" t="str">
        <f>"00840455"</f>
        <v>00840455</v>
      </c>
      <c r="C1143" t="s">
        <v>7801</v>
      </c>
      <c r="D1143" t="s">
        <v>913</v>
      </c>
      <c r="E1143" t="s">
        <v>914</v>
      </c>
      <c r="G1143" t="s">
        <v>7801</v>
      </c>
      <c r="H1143" t="s">
        <v>915</v>
      </c>
      <c r="J1143" t="s">
        <v>7802</v>
      </c>
      <c r="L1143" t="s">
        <v>80</v>
      </c>
      <c r="M1143" t="s">
        <v>72</v>
      </c>
      <c r="R1143" t="s">
        <v>916</v>
      </c>
      <c r="W1143" t="s">
        <v>914</v>
      </c>
      <c r="X1143" t="s">
        <v>917</v>
      </c>
      <c r="Y1143" t="s">
        <v>221</v>
      </c>
      <c r="Z1143" t="s">
        <v>73</v>
      </c>
      <c r="AA1143" t="str">
        <f>"14221-8602"</f>
        <v>14221-8602</v>
      </c>
      <c r="AB1143" t="s">
        <v>74</v>
      </c>
      <c r="AC1143" t="s">
        <v>75</v>
      </c>
      <c r="AD1143" t="s">
        <v>72</v>
      </c>
      <c r="AE1143" t="s">
        <v>76</v>
      </c>
      <c r="AF1143" t="s">
        <v>4431</v>
      </c>
      <c r="AG1143" t="s">
        <v>77</v>
      </c>
    </row>
    <row r="1144" spans="1:33" x14ac:dyDescent="0.25">
      <c r="A1144" t="str">
        <f>"1770571358"</f>
        <v>1770571358</v>
      </c>
      <c r="B1144" t="str">
        <f>"01065714"</f>
        <v>01065714</v>
      </c>
      <c r="C1144" t="s">
        <v>7803</v>
      </c>
      <c r="D1144" t="s">
        <v>771</v>
      </c>
      <c r="E1144" t="s">
        <v>772</v>
      </c>
      <c r="G1144" t="s">
        <v>7803</v>
      </c>
      <c r="H1144" t="s">
        <v>568</v>
      </c>
      <c r="J1144" t="s">
        <v>7804</v>
      </c>
      <c r="L1144" t="s">
        <v>79</v>
      </c>
      <c r="M1144" t="s">
        <v>72</v>
      </c>
      <c r="R1144" t="s">
        <v>773</v>
      </c>
      <c r="W1144" t="s">
        <v>772</v>
      </c>
      <c r="X1144" t="s">
        <v>569</v>
      </c>
      <c r="Y1144" t="s">
        <v>117</v>
      </c>
      <c r="Z1144" t="s">
        <v>73</v>
      </c>
      <c r="AA1144" t="str">
        <f>"14209-2087"</f>
        <v>14209-2087</v>
      </c>
      <c r="AB1144" t="s">
        <v>74</v>
      </c>
      <c r="AC1144" t="s">
        <v>75</v>
      </c>
      <c r="AD1144" t="s">
        <v>72</v>
      </c>
      <c r="AE1144" t="s">
        <v>76</v>
      </c>
      <c r="AG1144" t="s">
        <v>77</v>
      </c>
    </row>
    <row r="1145" spans="1:33" x14ac:dyDescent="0.25">
      <c r="A1145" t="str">
        <f>"1366522310"</f>
        <v>1366522310</v>
      </c>
      <c r="B1145" t="str">
        <f>"01881814"</f>
        <v>01881814</v>
      </c>
      <c r="C1145" t="s">
        <v>7805</v>
      </c>
      <c r="D1145" t="s">
        <v>7806</v>
      </c>
      <c r="E1145" t="s">
        <v>7807</v>
      </c>
      <c r="G1145" t="s">
        <v>4066</v>
      </c>
      <c r="H1145" t="s">
        <v>5311</v>
      </c>
      <c r="J1145" t="s">
        <v>5312</v>
      </c>
      <c r="L1145" t="s">
        <v>71</v>
      </c>
      <c r="M1145" t="s">
        <v>72</v>
      </c>
      <c r="R1145" t="s">
        <v>7808</v>
      </c>
      <c r="W1145" t="s">
        <v>7807</v>
      </c>
      <c r="X1145" t="s">
        <v>165</v>
      </c>
      <c r="Y1145" t="s">
        <v>166</v>
      </c>
      <c r="Z1145" t="s">
        <v>73</v>
      </c>
      <c r="AA1145" t="str">
        <f>"12308-2425"</f>
        <v>12308-2425</v>
      </c>
      <c r="AB1145" t="s">
        <v>74</v>
      </c>
      <c r="AC1145" t="s">
        <v>75</v>
      </c>
      <c r="AD1145" t="s">
        <v>72</v>
      </c>
      <c r="AE1145" t="s">
        <v>76</v>
      </c>
      <c r="AF1145" t="s">
        <v>3974</v>
      </c>
      <c r="AG1145" t="s">
        <v>77</v>
      </c>
    </row>
    <row r="1146" spans="1:33" x14ac:dyDescent="0.25">
      <c r="A1146" t="str">
        <f>"1780704189"</f>
        <v>1780704189</v>
      </c>
      <c r="B1146" t="str">
        <f>"02422448"</f>
        <v>02422448</v>
      </c>
      <c r="C1146" t="s">
        <v>7809</v>
      </c>
      <c r="D1146" t="s">
        <v>1685</v>
      </c>
      <c r="E1146" t="s">
        <v>1686</v>
      </c>
      <c r="G1146" t="s">
        <v>4887</v>
      </c>
      <c r="H1146" t="s">
        <v>789</v>
      </c>
      <c r="J1146" t="s">
        <v>4888</v>
      </c>
      <c r="L1146" t="s">
        <v>71</v>
      </c>
      <c r="M1146" t="s">
        <v>72</v>
      </c>
      <c r="R1146" t="s">
        <v>1687</v>
      </c>
      <c r="W1146" t="s">
        <v>1686</v>
      </c>
      <c r="X1146" t="s">
        <v>1688</v>
      </c>
      <c r="Y1146" t="s">
        <v>259</v>
      </c>
      <c r="Z1146" t="s">
        <v>73</v>
      </c>
      <c r="AA1146" t="str">
        <f>"14081"</f>
        <v>14081</v>
      </c>
      <c r="AB1146" t="s">
        <v>74</v>
      </c>
      <c r="AC1146" t="s">
        <v>75</v>
      </c>
      <c r="AD1146" t="s">
        <v>72</v>
      </c>
      <c r="AE1146" t="s">
        <v>76</v>
      </c>
      <c r="AF1146" t="s">
        <v>3974</v>
      </c>
      <c r="AG1146" t="s">
        <v>77</v>
      </c>
    </row>
    <row r="1147" spans="1:33" x14ac:dyDescent="0.25">
      <c r="A1147" t="str">
        <f>"1295758860"</f>
        <v>1295758860</v>
      </c>
      <c r="B1147" t="str">
        <f>"01088522"</f>
        <v>01088522</v>
      </c>
      <c r="C1147" t="s">
        <v>7810</v>
      </c>
      <c r="D1147" t="s">
        <v>2343</v>
      </c>
      <c r="E1147" t="s">
        <v>2344</v>
      </c>
      <c r="G1147" t="s">
        <v>5402</v>
      </c>
      <c r="H1147" t="s">
        <v>877</v>
      </c>
      <c r="J1147" t="s">
        <v>5403</v>
      </c>
      <c r="L1147" t="s">
        <v>80</v>
      </c>
      <c r="M1147" t="s">
        <v>72</v>
      </c>
      <c r="R1147" t="s">
        <v>2345</v>
      </c>
      <c r="W1147" t="s">
        <v>2344</v>
      </c>
      <c r="X1147" t="s">
        <v>1546</v>
      </c>
      <c r="Y1147" t="s">
        <v>1130</v>
      </c>
      <c r="Z1147" t="s">
        <v>73</v>
      </c>
      <c r="AA1147" t="str">
        <f>"14136-1452"</f>
        <v>14136-1452</v>
      </c>
      <c r="AB1147" t="s">
        <v>74</v>
      </c>
      <c r="AC1147" t="s">
        <v>75</v>
      </c>
      <c r="AD1147" t="s">
        <v>72</v>
      </c>
      <c r="AE1147" t="s">
        <v>76</v>
      </c>
      <c r="AF1147" t="s">
        <v>4049</v>
      </c>
      <c r="AG1147" t="s">
        <v>77</v>
      </c>
    </row>
    <row r="1148" spans="1:33" x14ac:dyDescent="0.25">
      <c r="A1148" t="str">
        <f>"1447407036"</f>
        <v>1447407036</v>
      </c>
      <c r="B1148" t="str">
        <f>"03025849"</f>
        <v>03025849</v>
      </c>
      <c r="C1148" t="s">
        <v>7811</v>
      </c>
      <c r="D1148" t="s">
        <v>615</v>
      </c>
      <c r="E1148" t="s">
        <v>616</v>
      </c>
      <c r="G1148" t="s">
        <v>5941</v>
      </c>
      <c r="H1148" t="s">
        <v>617</v>
      </c>
      <c r="J1148" t="s">
        <v>5942</v>
      </c>
      <c r="L1148" t="s">
        <v>79</v>
      </c>
      <c r="M1148" t="s">
        <v>72</v>
      </c>
      <c r="R1148" t="s">
        <v>618</v>
      </c>
      <c r="W1148" t="s">
        <v>616</v>
      </c>
      <c r="X1148" t="s">
        <v>619</v>
      </c>
      <c r="Y1148" t="s">
        <v>221</v>
      </c>
      <c r="Z1148" t="s">
        <v>73</v>
      </c>
      <c r="AA1148" t="str">
        <f>"14221-8024"</f>
        <v>14221-8024</v>
      </c>
      <c r="AB1148" t="s">
        <v>74</v>
      </c>
      <c r="AC1148" t="s">
        <v>75</v>
      </c>
      <c r="AD1148" t="s">
        <v>72</v>
      </c>
      <c r="AE1148" t="s">
        <v>76</v>
      </c>
      <c r="AF1148" t="s">
        <v>3974</v>
      </c>
      <c r="AG1148" t="s">
        <v>77</v>
      </c>
    </row>
    <row r="1149" spans="1:33" x14ac:dyDescent="0.25">
      <c r="A1149" t="str">
        <f>"1992706485"</f>
        <v>1992706485</v>
      </c>
      <c r="B1149" t="str">
        <f>"00886402"</f>
        <v>00886402</v>
      </c>
      <c r="C1149" t="s">
        <v>7812</v>
      </c>
      <c r="D1149" t="s">
        <v>7813</v>
      </c>
      <c r="E1149" t="s">
        <v>7814</v>
      </c>
      <c r="G1149" t="s">
        <v>7815</v>
      </c>
      <c r="H1149" t="s">
        <v>1796</v>
      </c>
      <c r="J1149" t="s">
        <v>7816</v>
      </c>
      <c r="L1149" t="s">
        <v>80</v>
      </c>
      <c r="M1149" t="s">
        <v>72</v>
      </c>
      <c r="R1149" t="s">
        <v>460</v>
      </c>
      <c r="W1149" t="s">
        <v>7817</v>
      </c>
      <c r="X1149" t="s">
        <v>1797</v>
      </c>
      <c r="Y1149" t="s">
        <v>117</v>
      </c>
      <c r="Z1149" t="s">
        <v>73</v>
      </c>
      <c r="AA1149" t="str">
        <f>"14225-1080"</f>
        <v>14225-1080</v>
      </c>
      <c r="AB1149" t="s">
        <v>74</v>
      </c>
      <c r="AC1149" t="s">
        <v>75</v>
      </c>
      <c r="AD1149" t="s">
        <v>72</v>
      </c>
      <c r="AE1149" t="s">
        <v>76</v>
      </c>
      <c r="AF1149" t="s">
        <v>3961</v>
      </c>
      <c r="AG1149" t="s">
        <v>77</v>
      </c>
    </row>
    <row r="1150" spans="1:33" x14ac:dyDescent="0.25">
      <c r="A1150" t="str">
        <f>"1932197449"</f>
        <v>1932197449</v>
      </c>
      <c r="B1150" t="str">
        <f>"00601189"</f>
        <v>00601189</v>
      </c>
      <c r="C1150" t="s">
        <v>7818</v>
      </c>
      <c r="D1150" t="s">
        <v>1786</v>
      </c>
      <c r="E1150" t="s">
        <v>1787</v>
      </c>
      <c r="G1150" t="s">
        <v>7818</v>
      </c>
      <c r="H1150" t="s">
        <v>568</v>
      </c>
      <c r="J1150" t="s">
        <v>7819</v>
      </c>
      <c r="L1150" t="s">
        <v>71</v>
      </c>
      <c r="M1150" t="s">
        <v>72</v>
      </c>
      <c r="R1150" t="s">
        <v>1788</v>
      </c>
      <c r="W1150" t="s">
        <v>1787</v>
      </c>
      <c r="X1150" t="s">
        <v>219</v>
      </c>
      <c r="Y1150" t="s">
        <v>117</v>
      </c>
      <c r="Z1150" t="s">
        <v>73</v>
      </c>
      <c r="AA1150" t="str">
        <f>"14203-1149"</f>
        <v>14203-1149</v>
      </c>
      <c r="AB1150" t="s">
        <v>74</v>
      </c>
      <c r="AC1150" t="s">
        <v>75</v>
      </c>
      <c r="AD1150" t="s">
        <v>72</v>
      </c>
      <c r="AE1150" t="s">
        <v>76</v>
      </c>
      <c r="AG1150" t="s">
        <v>77</v>
      </c>
    </row>
    <row r="1151" spans="1:33" x14ac:dyDescent="0.25">
      <c r="A1151" t="str">
        <f>"1730172776"</f>
        <v>1730172776</v>
      </c>
      <c r="B1151" t="str">
        <f>"01173293"</f>
        <v>01173293</v>
      </c>
      <c r="C1151" t="s">
        <v>7820</v>
      </c>
      <c r="D1151" t="s">
        <v>2944</v>
      </c>
      <c r="E1151" t="s">
        <v>2945</v>
      </c>
      <c r="G1151" t="s">
        <v>5624</v>
      </c>
      <c r="H1151" t="s">
        <v>841</v>
      </c>
      <c r="J1151" t="s">
        <v>5625</v>
      </c>
      <c r="L1151" t="s">
        <v>84</v>
      </c>
      <c r="M1151" t="s">
        <v>72</v>
      </c>
      <c r="R1151" t="s">
        <v>2946</v>
      </c>
      <c r="W1151" t="s">
        <v>2945</v>
      </c>
      <c r="X1151" t="s">
        <v>446</v>
      </c>
      <c r="Y1151" t="s">
        <v>221</v>
      </c>
      <c r="Z1151" t="s">
        <v>73</v>
      </c>
      <c r="AA1151" t="str">
        <f>"14221-3698"</f>
        <v>14221-3698</v>
      </c>
      <c r="AB1151" t="s">
        <v>74</v>
      </c>
      <c r="AC1151" t="s">
        <v>75</v>
      </c>
      <c r="AD1151" t="s">
        <v>72</v>
      </c>
      <c r="AE1151" t="s">
        <v>76</v>
      </c>
      <c r="AG1151" t="s">
        <v>77</v>
      </c>
    </row>
    <row r="1152" spans="1:33" x14ac:dyDescent="0.25">
      <c r="A1152" t="str">
        <f>"1457303521"</f>
        <v>1457303521</v>
      </c>
      <c r="B1152" t="str">
        <f>"01908841"</f>
        <v>01908841</v>
      </c>
      <c r="C1152" t="s">
        <v>7821</v>
      </c>
      <c r="D1152" t="s">
        <v>7822</v>
      </c>
      <c r="E1152" t="s">
        <v>7823</v>
      </c>
      <c r="G1152" t="s">
        <v>3969</v>
      </c>
      <c r="H1152" t="s">
        <v>3970</v>
      </c>
      <c r="J1152" t="s">
        <v>3971</v>
      </c>
      <c r="L1152" t="s">
        <v>79</v>
      </c>
      <c r="M1152" t="s">
        <v>72</v>
      </c>
      <c r="R1152" t="s">
        <v>7824</v>
      </c>
      <c r="W1152" t="s">
        <v>7823</v>
      </c>
      <c r="X1152" t="s">
        <v>240</v>
      </c>
      <c r="Y1152" t="s">
        <v>240</v>
      </c>
      <c r="Z1152" t="s">
        <v>73</v>
      </c>
      <c r="AA1152" t="str">
        <f>"14094-3201"</f>
        <v>14094-3201</v>
      </c>
      <c r="AB1152" t="s">
        <v>74</v>
      </c>
      <c r="AC1152" t="s">
        <v>75</v>
      </c>
      <c r="AD1152" t="s">
        <v>72</v>
      </c>
      <c r="AE1152" t="s">
        <v>76</v>
      </c>
      <c r="AF1152" t="s">
        <v>3974</v>
      </c>
      <c r="AG1152" t="s">
        <v>77</v>
      </c>
    </row>
    <row r="1153" spans="1:33" x14ac:dyDescent="0.25">
      <c r="A1153" t="str">
        <f>"1184634735"</f>
        <v>1184634735</v>
      </c>
      <c r="B1153" t="str">
        <f>"00604715"</f>
        <v>00604715</v>
      </c>
      <c r="C1153" t="s">
        <v>7825</v>
      </c>
      <c r="D1153" t="s">
        <v>3120</v>
      </c>
      <c r="E1153" t="s">
        <v>3121</v>
      </c>
      <c r="G1153" t="s">
        <v>6833</v>
      </c>
      <c r="H1153" t="s">
        <v>3122</v>
      </c>
      <c r="J1153" t="s">
        <v>6834</v>
      </c>
      <c r="L1153" t="s">
        <v>71</v>
      </c>
      <c r="M1153" t="s">
        <v>72</v>
      </c>
      <c r="R1153" t="s">
        <v>3123</v>
      </c>
      <c r="W1153" t="s">
        <v>3124</v>
      </c>
      <c r="X1153" t="s">
        <v>3125</v>
      </c>
      <c r="Y1153" t="s">
        <v>209</v>
      </c>
      <c r="Z1153" t="s">
        <v>73</v>
      </c>
      <c r="AA1153" t="str">
        <f>"14304-3113"</f>
        <v>14304-3113</v>
      </c>
      <c r="AB1153" t="s">
        <v>74</v>
      </c>
      <c r="AC1153" t="s">
        <v>75</v>
      </c>
      <c r="AD1153" t="s">
        <v>72</v>
      </c>
      <c r="AE1153" t="s">
        <v>76</v>
      </c>
      <c r="AF1153" t="s">
        <v>3974</v>
      </c>
      <c r="AG1153" t="s">
        <v>77</v>
      </c>
    </row>
    <row r="1154" spans="1:33" x14ac:dyDescent="0.25">
      <c r="A1154" t="str">
        <f>"1841290772"</f>
        <v>1841290772</v>
      </c>
      <c r="B1154" t="str">
        <f>"01436126"</f>
        <v>01436126</v>
      </c>
      <c r="C1154" t="s">
        <v>7826</v>
      </c>
      <c r="D1154" t="s">
        <v>7827</v>
      </c>
      <c r="E1154" t="s">
        <v>7828</v>
      </c>
      <c r="G1154" t="s">
        <v>7829</v>
      </c>
      <c r="H1154" t="s">
        <v>7830</v>
      </c>
      <c r="J1154" t="s">
        <v>7831</v>
      </c>
      <c r="L1154" t="s">
        <v>79</v>
      </c>
      <c r="M1154" t="s">
        <v>72</v>
      </c>
      <c r="R1154" t="s">
        <v>7832</v>
      </c>
      <c r="W1154" t="s">
        <v>7828</v>
      </c>
      <c r="X1154" t="s">
        <v>3011</v>
      </c>
      <c r="Y1154" t="s">
        <v>117</v>
      </c>
      <c r="Z1154" t="s">
        <v>73</v>
      </c>
      <c r="AA1154" t="str">
        <f>"14263-0001"</f>
        <v>14263-0001</v>
      </c>
      <c r="AB1154" t="s">
        <v>74</v>
      </c>
      <c r="AC1154" t="s">
        <v>75</v>
      </c>
      <c r="AD1154" t="s">
        <v>72</v>
      </c>
      <c r="AE1154" t="s">
        <v>76</v>
      </c>
      <c r="AF1154" t="s">
        <v>3974</v>
      </c>
      <c r="AG1154" t="s">
        <v>77</v>
      </c>
    </row>
    <row r="1155" spans="1:33" x14ac:dyDescent="0.25">
      <c r="A1155" t="str">
        <f>"1457324469"</f>
        <v>1457324469</v>
      </c>
      <c r="B1155" t="str">
        <f>"02516916"</f>
        <v>02516916</v>
      </c>
      <c r="C1155" t="s">
        <v>7833</v>
      </c>
      <c r="D1155" t="s">
        <v>1102</v>
      </c>
      <c r="E1155" t="s">
        <v>1103</v>
      </c>
      <c r="G1155" t="s">
        <v>3991</v>
      </c>
      <c r="H1155" t="s">
        <v>1104</v>
      </c>
      <c r="J1155" t="s">
        <v>3992</v>
      </c>
      <c r="L1155" t="s">
        <v>79</v>
      </c>
      <c r="M1155" t="s">
        <v>72</v>
      </c>
      <c r="R1155" t="s">
        <v>1105</v>
      </c>
      <c r="W1155" t="s">
        <v>1103</v>
      </c>
      <c r="X1155" t="s">
        <v>1106</v>
      </c>
      <c r="Y1155" t="s">
        <v>117</v>
      </c>
      <c r="Z1155" t="s">
        <v>73</v>
      </c>
      <c r="AA1155" t="str">
        <f>"14209-1120"</f>
        <v>14209-1120</v>
      </c>
      <c r="AB1155" t="s">
        <v>74</v>
      </c>
      <c r="AC1155" t="s">
        <v>75</v>
      </c>
      <c r="AD1155" t="s">
        <v>72</v>
      </c>
      <c r="AE1155" t="s">
        <v>76</v>
      </c>
      <c r="AF1155" t="s">
        <v>3974</v>
      </c>
      <c r="AG1155" t="s">
        <v>77</v>
      </c>
    </row>
    <row r="1156" spans="1:33" x14ac:dyDescent="0.25">
      <c r="A1156" t="str">
        <f>"1891767786"</f>
        <v>1891767786</v>
      </c>
      <c r="B1156" t="str">
        <f>"01191684"</f>
        <v>01191684</v>
      </c>
      <c r="C1156" t="s">
        <v>7834</v>
      </c>
      <c r="D1156" t="s">
        <v>7835</v>
      </c>
      <c r="E1156" t="s">
        <v>7836</v>
      </c>
      <c r="G1156" t="s">
        <v>4883</v>
      </c>
      <c r="H1156" t="s">
        <v>3216</v>
      </c>
      <c r="J1156" t="s">
        <v>4884</v>
      </c>
      <c r="L1156" t="s">
        <v>79</v>
      </c>
      <c r="M1156" t="s">
        <v>72</v>
      </c>
      <c r="R1156" t="s">
        <v>7837</v>
      </c>
      <c r="W1156" t="s">
        <v>7836</v>
      </c>
      <c r="X1156" t="s">
        <v>333</v>
      </c>
      <c r="Y1156" t="s">
        <v>117</v>
      </c>
      <c r="Z1156" t="s">
        <v>73</v>
      </c>
      <c r="AA1156" t="str">
        <f>"14221-5329"</f>
        <v>14221-5329</v>
      </c>
      <c r="AB1156" t="s">
        <v>74</v>
      </c>
      <c r="AC1156" t="s">
        <v>75</v>
      </c>
      <c r="AD1156" t="s">
        <v>72</v>
      </c>
      <c r="AE1156" t="s">
        <v>76</v>
      </c>
      <c r="AF1156" t="s">
        <v>3974</v>
      </c>
      <c r="AG1156" t="s">
        <v>77</v>
      </c>
    </row>
    <row r="1157" spans="1:33" x14ac:dyDescent="0.25">
      <c r="A1157" t="str">
        <f>"1407126261"</f>
        <v>1407126261</v>
      </c>
      <c r="B1157" t="str">
        <f>"03530994"</f>
        <v>03530994</v>
      </c>
      <c r="C1157" t="s">
        <v>7838</v>
      </c>
      <c r="D1157" t="s">
        <v>1811</v>
      </c>
      <c r="E1157" t="s">
        <v>1812</v>
      </c>
      <c r="G1157" t="s">
        <v>396</v>
      </c>
      <c r="H1157" t="s">
        <v>397</v>
      </c>
      <c r="J1157" t="s">
        <v>398</v>
      </c>
      <c r="L1157" t="s">
        <v>71</v>
      </c>
      <c r="M1157" t="s">
        <v>72</v>
      </c>
      <c r="R1157" t="s">
        <v>1812</v>
      </c>
      <c r="W1157" t="s">
        <v>1812</v>
      </c>
      <c r="X1157" t="s">
        <v>1092</v>
      </c>
      <c r="Y1157" t="s">
        <v>117</v>
      </c>
      <c r="Z1157" t="s">
        <v>73</v>
      </c>
      <c r="AA1157" t="str">
        <f>"14209-2111"</f>
        <v>14209-2111</v>
      </c>
      <c r="AB1157" t="s">
        <v>105</v>
      </c>
      <c r="AC1157" t="s">
        <v>75</v>
      </c>
      <c r="AD1157" t="s">
        <v>72</v>
      </c>
      <c r="AE1157" t="s">
        <v>76</v>
      </c>
      <c r="AF1157" t="s">
        <v>4043</v>
      </c>
      <c r="AG1157" t="s">
        <v>77</v>
      </c>
    </row>
    <row r="1158" spans="1:33" x14ac:dyDescent="0.25">
      <c r="A1158" t="str">
        <f>"1538505219"</f>
        <v>1538505219</v>
      </c>
      <c r="C1158" t="s">
        <v>7839</v>
      </c>
      <c r="G1158" t="s">
        <v>396</v>
      </c>
      <c r="H1158" t="s">
        <v>397</v>
      </c>
      <c r="J1158" t="s">
        <v>398</v>
      </c>
      <c r="K1158" t="s">
        <v>89</v>
      </c>
      <c r="L1158" t="s">
        <v>92</v>
      </c>
      <c r="M1158" t="s">
        <v>72</v>
      </c>
      <c r="R1158" t="s">
        <v>1469</v>
      </c>
      <c r="S1158" t="s">
        <v>486</v>
      </c>
      <c r="T1158" t="s">
        <v>311</v>
      </c>
      <c r="U1158" t="s">
        <v>73</v>
      </c>
      <c r="V1158" t="str">
        <f>"145691326"</f>
        <v>145691326</v>
      </c>
      <c r="AC1158" t="s">
        <v>75</v>
      </c>
      <c r="AD1158" t="s">
        <v>72</v>
      </c>
      <c r="AE1158" t="s">
        <v>93</v>
      </c>
      <c r="AF1158" t="s">
        <v>4043</v>
      </c>
      <c r="AG1158" t="s">
        <v>77</v>
      </c>
    </row>
    <row r="1159" spans="1:33" x14ac:dyDescent="0.25">
      <c r="A1159" t="str">
        <f>"1932410206"</f>
        <v>1932410206</v>
      </c>
      <c r="B1159" t="str">
        <f>"03353995"</f>
        <v>03353995</v>
      </c>
      <c r="C1159" t="s">
        <v>7840</v>
      </c>
      <c r="D1159" t="s">
        <v>1399</v>
      </c>
      <c r="E1159" t="s">
        <v>1400</v>
      </c>
      <c r="G1159" t="s">
        <v>396</v>
      </c>
      <c r="H1159" t="s">
        <v>397</v>
      </c>
      <c r="J1159" t="s">
        <v>398</v>
      </c>
      <c r="L1159" t="s">
        <v>71</v>
      </c>
      <c r="M1159" t="s">
        <v>81</v>
      </c>
      <c r="R1159" t="s">
        <v>1401</v>
      </c>
      <c r="W1159" t="s">
        <v>1400</v>
      </c>
      <c r="X1159" t="s">
        <v>413</v>
      </c>
      <c r="Y1159" t="s">
        <v>326</v>
      </c>
      <c r="Z1159" t="s">
        <v>73</v>
      </c>
      <c r="AA1159" t="str">
        <f>"14127-2600"</f>
        <v>14127-2600</v>
      </c>
      <c r="AB1159" t="s">
        <v>74</v>
      </c>
      <c r="AC1159" t="s">
        <v>75</v>
      </c>
      <c r="AD1159" t="s">
        <v>72</v>
      </c>
      <c r="AE1159" t="s">
        <v>76</v>
      </c>
      <c r="AF1159" t="s">
        <v>4043</v>
      </c>
      <c r="AG1159" t="s">
        <v>77</v>
      </c>
    </row>
    <row r="1160" spans="1:33" x14ac:dyDescent="0.25">
      <c r="A1160" t="str">
        <f>"1952338048"</f>
        <v>1952338048</v>
      </c>
      <c r="B1160" t="str">
        <f>"01843181"</f>
        <v>01843181</v>
      </c>
      <c r="C1160" t="s">
        <v>7841</v>
      </c>
      <c r="D1160" t="s">
        <v>1210</v>
      </c>
      <c r="E1160" t="s">
        <v>1211</v>
      </c>
      <c r="G1160" t="s">
        <v>5010</v>
      </c>
      <c r="H1160" t="s">
        <v>1119</v>
      </c>
      <c r="J1160" t="s">
        <v>5011</v>
      </c>
      <c r="L1160" t="s">
        <v>79</v>
      </c>
      <c r="M1160" t="s">
        <v>72</v>
      </c>
      <c r="R1160" t="s">
        <v>1211</v>
      </c>
      <c r="W1160" t="s">
        <v>1212</v>
      </c>
      <c r="X1160" t="s">
        <v>295</v>
      </c>
      <c r="Y1160" t="s">
        <v>117</v>
      </c>
      <c r="Z1160" t="s">
        <v>73</v>
      </c>
      <c r="AA1160" t="str">
        <f>"14215-3021"</f>
        <v>14215-3021</v>
      </c>
      <c r="AB1160" t="s">
        <v>74</v>
      </c>
      <c r="AC1160" t="s">
        <v>75</v>
      </c>
      <c r="AD1160" t="s">
        <v>72</v>
      </c>
      <c r="AE1160" t="s">
        <v>76</v>
      </c>
      <c r="AF1160" t="s">
        <v>3974</v>
      </c>
      <c r="AG1160" t="s">
        <v>77</v>
      </c>
    </row>
    <row r="1161" spans="1:33" x14ac:dyDescent="0.25">
      <c r="A1161" t="str">
        <f>"1881653988"</f>
        <v>1881653988</v>
      </c>
      <c r="B1161" t="str">
        <f>"02301559"</f>
        <v>02301559</v>
      </c>
      <c r="C1161" t="s">
        <v>7842</v>
      </c>
      <c r="D1161" t="s">
        <v>7843</v>
      </c>
      <c r="E1161" t="s">
        <v>7844</v>
      </c>
      <c r="G1161" t="s">
        <v>3969</v>
      </c>
      <c r="H1161" t="s">
        <v>3970</v>
      </c>
      <c r="J1161" t="s">
        <v>3971</v>
      </c>
      <c r="L1161" t="s">
        <v>79</v>
      </c>
      <c r="M1161" t="s">
        <v>72</v>
      </c>
      <c r="W1161" t="s">
        <v>7844</v>
      </c>
      <c r="X1161" t="s">
        <v>301</v>
      </c>
      <c r="Y1161" t="s">
        <v>117</v>
      </c>
      <c r="Z1161" t="s">
        <v>73</v>
      </c>
      <c r="AA1161" t="str">
        <f>"14214-2648"</f>
        <v>14214-2648</v>
      </c>
      <c r="AB1161" t="s">
        <v>74</v>
      </c>
      <c r="AC1161" t="s">
        <v>75</v>
      </c>
      <c r="AD1161" t="s">
        <v>72</v>
      </c>
      <c r="AE1161" t="s">
        <v>76</v>
      </c>
      <c r="AF1161" t="s">
        <v>3974</v>
      </c>
      <c r="AG1161" t="s">
        <v>77</v>
      </c>
    </row>
    <row r="1162" spans="1:33" x14ac:dyDescent="0.25">
      <c r="A1162" t="str">
        <f>"1659346948"</f>
        <v>1659346948</v>
      </c>
      <c r="B1162" t="str">
        <f>"01642020"</f>
        <v>01642020</v>
      </c>
      <c r="C1162" t="s">
        <v>7845</v>
      </c>
      <c r="D1162" t="s">
        <v>670</v>
      </c>
      <c r="E1162" t="s">
        <v>671</v>
      </c>
      <c r="G1162" t="s">
        <v>4652</v>
      </c>
      <c r="H1162" t="s">
        <v>672</v>
      </c>
      <c r="J1162" t="s">
        <v>4653</v>
      </c>
      <c r="L1162" t="s">
        <v>80</v>
      </c>
      <c r="M1162" t="s">
        <v>72</v>
      </c>
      <c r="R1162" t="s">
        <v>673</v>
      </c>
      <c r="W1162" t="s">
        <v>671</v>
      </c>
      <c r="Y1162" t="s">
        <v>117</v>
      </c>
      <c r="Z1162" t="s">
        <v>73</v>
      </c>
      <c r="AA1162" t="str">
        <f>"14222-2099"</f>
        <v>14222-2099</v>
      </c>
      <c r="AB1162" t="s">
        <v>74</v>
      </c>
      <c r="AC1162" t="s">
        <v>75</v>
      </c>
      <c r="AD1162" t="s">
        <v>72</v>
      </c>
      <c r="AE1162" t="s">
        <v>76</v>
      </c>
      <c r="AF1162" t="s">
        <v>3961</v>
      </c>
      <c r="AG1162" t="s">
        <v>77</v>
      </c>
    </row>
    <row r="1163" spans="1:33" x14ac:dyDescent="0.25">
      <c r="A1163" t="str">
        <f>"1205045424"</f>
        <v>1205045424</v>
      </c>
      <c r="B1163" t="str">
        <f>"02904781"</f>
        <v>02904781</v>
      </c>
      <c r="C1163" t="s">
        <v>7846</v>
      </c>
      <c r="D1163" t="s">
        <v>3287</v>
      </c>
      <c r="E1163" t="s">
        <v>3288</v>
      </c>
      <c r="G1163" t="s">
        <v>6512</v>
      </c>
      <c r="H1163" t="s">
        <v>6513</v>
      </c>
      <c r="J1163" t="s">
        <v>6514</v>
      </c>
      <c r="L1163" t="s">
        <v>79</v>
      </c>
      <c r="M1163" t="s">
        <v>72</v>
      </c>
      <c r="R1163" t="s">
        <v>3289</v>
      </c>
      <c r="W1163" t="s">
        <v>3288</v>
      </c>
      <c r="X1163" t="s">
        <v>1374</v>
      </c>
      <c r="Y1163" t="s">
        <v>851</v>
      </c>
      <c r="Z1163" t="s">
        <v>73</v>
      </c>
      <c r="AA1163" t="str">
        <f>"14047-9430"</f>
        <v>14047-9430</v>
      </c>
      <c r="AB1163" t="s">
        <v>74</v>
      </c>
      <c r="AC1163" t="s">
        <v>75</v>
      </c>
      <c r="AD1163" t="s">
        <v>72</v>
      </c>
      <c r="AE1163" t="s">
        <v>76</v>
      </c>
      <c r="AF1163" t="s">
        <v>3974</v>
      </c>
      <c r="AG1163" t="s">
        <v>77</v>
      </c>
    </row>
    <row r="1164" spans="1:33" x14ac:dyDescent="0.25">
      <c r="A1164" t="str">
        <f>"1912969304"</f>
        <v>1912969304</v>
      </c>
      <c r="B1164" t="str">
        <f>"01703924"</f>
        <v>01703924</v>
      </c>
      <c r="C1164" t="s">
        <v>7847</v>
      </c>
      <c r="D1164" t="s">
        <v>3735</v>
      </c>
      <c r="E1164" t="s">
        <v>3736</v>
      </c>
      <c r="G1164" t="s">
        <v>5327</v>
      </c>
      <c r="H1164" t="s">
        <v>579</v>
      </c>
      <c r="J1164" t="s">
        <v>5328</v>
      </c>
      <c r="L1164" t="s">
        <v>80</v>
      </c>
      <c r="M1164" t="s">
        <v>72</v>
      </c>
      <c r="R1164" t="s">
        <v>3737</v>
      </c>
      <c r="W1164" t="s">
        <v>3738</v>
      </c>
      <c r="X1164" t="s">
        <v>301</v>
      </c>
      <c r="Y1164" t="s">
        <v>117</v>
      </c>
      <c r="Z1164" t="s">
        <v>73</v>
      </c>
      <c r="AA1164" t="str">
        <f>"14214-2648"</f>
        <v>14214-2648</v>
      </c>
      <c r="AB1164" t="s">
        <v>74</v>
      </c>
      <c r="AC1164" t="s">
        <v>75</v>
      </c>
      <c r="AD1164" t="s">
        <v>72</v>
      </c>
      <c r="AE1164" t="s">
        <v>76</v>
      </c>
      <c r="AF1164" t="s">
        <v>3961</v>
      </c>
      <c r="AG1164" t="s">
        <v>77</v>
      </c>
    </row>
    <row r="1165" spans="1:33" x14ac:dyDescent="0.25">
      <c r="A1165" t="str">
        <f>"1528064136"</f>
        <v>1528064136</v>
      </c>
      <c r="B1165" t="str">
        <f>"00622688"</f>
        <v>00622688</v>
      </c>
      <c r="C1165" t="s">
        <v>7848</v>
      </c>
      <c r="D1165" t="s">
        <v>1235</v>
      </c>
      <c r="E1165" t="s">
        <v>1236</v>
      </c>
      <c r="G1165" t="s">
        <v>7848</v>
      </c>
      <c r="H1165" t="s">
        <v>603</v>
      </c>
      <c r="J1165" t="s">
        <v>7849</v>
      </c>
      <c r="L1165" t="s">
        <v>79</v>
      </c>
      <c r="M1165" t="s">
        <v>81</v>
      </c>
      <c r="R1165" t="s">
        <v>1237</v>
      </c>
      <c r="W1165" t="s">
        <v>1238</v>
      </c>
      <c r="X1165" t="s">
        <v>301</v>
      </c>
      <c r="Y1165" t="s">
        <v>117</v>
      </c>
      <c r="Z1165" t="s">
        <v>73</v>
      </c>
      <c r="AA1165" t="str">
        <f>"14214-2648"</f>
        <v>14214-2648</v>
      </c>
      <c r="AB1165" t="s">
        <v>74</v>
      </c>
      <c r="AC1165" t="s">
        <v>75</v>
      </c>
      <c r="AD1165" t="s">
        <v>72</v>
      </c>
      <c r="AE1165" t="s">
        <v>76</v>
      </c>
      <c r="AF1165" t="s">
        <v>3961</v>
      </c>
      <c r="AG1165" t="s">
        <v>77</v>
      </c>
    </row>
    <row r="1166" spans="1:33" x14ac:dyDescent="0.25">
      <c r="A1166" t="str">
        <f>"1750309977"</f>
        <v>1750309977</v>
      </c>
      <c r="B1166" t="str">
        <f>"02771680"</f>
        <v>02771680</v>
      </c>
      <c r="C1166" t="s">
        <v>7850</v>
      </c>
      <c r="D1166" t="s">
        <v>7851</v>
      </c>
      <c r="E1166" t="s">
        <v>7852</v>
      </c>
      <c r="G1166" t="s">
        <v>4883</v>
      </c>
      <c r="H1166" t="s">
        <v>3216</v>
      </c>
      <c r="J1166" t="s">
        <v>4884</v>
      </c>
      <c r="L1166" t="s">
        <v>79</v>
      </c>
      <c r="M1166" t="s">
        <v>72</v>
      </c>
      <c r="R1166" t="s">
        <v>7853</v>
      </c>
      <c r="W1166" t="s">
        <v>7852</v>
      </c>
      <c r="X1166" t="s">
        <v>187</v>
      </c>
      <c r="Y1166" t="s">
        <v>188</v>
      </c>
      <c r="Z1166" t="s">
        <v>73</v>
      </c>
      <c r="AA1166" t="str">
        <f>"14092-1903"</f>
        <v>14092-1903</v>
      </c>
      <c r="AB1166" t="s">
        <v>74</v>
      </c>
      <c r="AC1166" t="s">
        <v>75</v>
      </c>
      <c r="AD1166" t="s">
        <v>72</v>
      </c>
      <c r="AE1166" t="s">
        <v>76</v>
      </c>
      <c r="AF1166" t="s">
        <v>3974</v>
      </c>
      <c r="AG1166" t="s">
        <v>77</v>
      </c>
    </row>
    <row r="1167" spans="1:33" x14ac:dyDescent="0.25">
      <c r="A1167" t="str">
        <f>"1164481446"</f>
        <v>1164481446</v>
      </c>
      <c r="B1167" t="str">
        <f>"01183426"</f>
        <v>01183426</v>
      </c>
      <c r="C1167" t="s">
        <v>7854</v>
      </c>
      <c r="D1167" t="s">
        <v>2147</v>
      </c>
      <c r="E1167" t="s">
        <v>2148</v>
      </c>
      <c r="G1167" t="s">
        <v>5010</v>
      </c>
      <c r="H1167" t="s">
        <v>1119</v>
      </c>
      <c r="J1167" t="s">
        <v>5011</v>
      </c>
      <c r="L1167" t="s">
        <v>79</v>
      </c>
      <c r="M1167" t="s">
        <v>72</v>
      </c>
      <c r="R1167" t="s">
        <v>2149</v>
      </c>
      <c r="W1167" t="s">
        <v>2150</v>
      </c>
      <c r="X1167" t="s">
        <v>385</v>
      </c>
      <c r="Y1167" t="s">
        <v>228</v>
      </c>
      <c r="Z1167" t="s">
        <v>73</v>
      </c>
      <c r="AA1167" t="str">
        <f>"14226-1738"</f>
        <v>14226-1738</v>
      </c>
      <c r="AB1167" t="s">
        <v>113</v>
      </c>
      <c r="AC1167" t="s">
        <v>75</v>
      </c>
      <c r="AD1167" t="s">
        <v>72</v>
      </c>
      <c r="AE1167" t="s">
        <v>76</v>
      </c>
      <c r="AF1167" t="s">
        <v>3974</v>
      </c>
      <c r="AG1167" t="s">
        <v>77</v>
      </c>
    </row>
    <row r="1168" spans="1:33" x14ac:dyDescent="0.25">
      <c r="A1168" t="str">
        <f>"1225099419"</f>
        <v>1225099419</v>
      </c>
      <c r="B1168" t="str">
        <f>"02733324"</f>
        <v>02733324</v>
      </c>
      <c r="C1168" t="s">
        <v>7855</v>
      </c>
      <c r="D1168" t="s">
        <v>7856</v>
      </c>
      <c r="E1168" t="s">
        <v>7857</v>
      </c>
      <c r="G1168" t="s">
        <v>7858</v>
      </c>
      <c r="H1168" t="s">
        <v>7859</v>
      </c>
      <c r="J1168" t="s">
        <v>7860</v>
      </c>
      <c r="L1168" t="s">
        <v>79</v>
      </c>
      <c r="M1168" t="s">
        <v>72</v>
      </c>
      <c r="R1168" t="s">
        <v>7861</v>
      </c>
      <c r="W1168" t="s">
        <v>7857</v>
      </c>
      <c r="X1168" t="s">
        <v>192</v>
      </c>
      <c r="Y1168" t="s">
        <v>184</v>
      </c>
      <c r="Z1168" t="s">
        <v>73</v>
      </c>
      <c r="AA1168" t="str">
        <f>"13501-5930"</f>
        <v>13501-5930</v>
      </c>
      <c r="AB1168" t="s">
        <v>74</v>
      </c>
      <c r="AC1168" t="s">
        <v>75</v>
      </c>
      <c r="AD1168" t="s">
        <v>72</v>
      </c>
      <c r="AE1168" t="s">
        <v>76</v>
      </c>
      <c r="AF1168" t="s">
        <v>3974</v>
      </c>
      <c r="AG1168" t="s">
        <v>77</v>
      </c>
    </row>
    <row r="1169" spans="1:33" x14ac:dyDescent="0.25">
      <c r="A1169" t="str">
        <f>"1992708754"</f>
        <v>1992708754</v>
      </c>
      <c r="B1169" t="str">
        <f>"02107573"</f>
        <v>02107573</v>
      </c>
      <c r="C1169" t="s">
        <v>7862</v>
      </c>
      <c r="D1169" t="s">
        <v>7863</v>
      </c>
      <c r="E1169" t="s">
        <v>7864</v>
      </c>
      <c r="G1169" t="s">
        <v>6602</v>
      </c>
      <c r="H1169" t="s">
        <v>6603</v>
      </c>
      <c r="J1169" t="s">
        <v>6604</v>
      </c>
      <c r="L1169" t="s">
        <v>80</v>
      </c>
      <c r="M1169" t="s">
        <v>72</v>
      </c>
      <c r="R1169" t="s">
        <v>7865</v>
      </c>
      <c r="W1169" t="s">
        <v>7864</v>
      </c>
      <c r="X1169" t="s">
        <v>6038</v>
      </c>
      <c r="Y1169" t="s">
        <v>247</v>
      </c>
      <c r="Z1169" t="s">
        <v>73</v>
      </c>
      <c r="AA1169" t="str">
        <f>"14227-2379"</f>
        <v>14227-2379</v>
      </c>
      <c r="AB1169" t="s">
        <v>74</v>
      </c>
      <c r="AC1169" t="s">
        <v>75</v>
      </c>
      <c r="AD1169" t="s">
        <v>72</v>
      </c>
      <c r="AE1169" t="s">
        <v>76</v>
      </c>
      <c r="AF1169" t="s">
        <v>3961</v>
      </c>
      <c r="AG1169" t="s">
        <v>77</v>
      </c>
    </row>
    <row r="1170" spans="1:33" x14ac:dyDescent="0.25">
      <c r="A1170" t="str">
        <f>"1821035593"</f>
        <v>1821035593</v>
      </c>
      <c r="B1170" t="str">
        <f>"01136070"</f>
        <v>01136070</v>
      </c>
      <c r="C1170" t="s">
        <v>7866</v>
      </c>
      <c r="D1170" t="s">
        <v>1747</v>
      </c>
      <c r="E1170" t="s">
        <v>1748</v>
      </c>
      <c r="G1170" t="s">
        <v>7867</v>
      </c>
      <c r="H1170" t="s">
        <v>1749</v>
      </c>
      <c r="J1170" t="s">
        <v>7868</v>
      </c>
      <c r="L1170" t="s">
        <v>80</v>
      </c>
      <c r="M1170" t="s">
        <v>72</v>
      </c>
      <c r="R1170" t="s">
        <v>1750</v>
      </c>
      <c r="W1170" t="s">
        <v>1751</v>
      </c>
      <c r="X1170" t="s">
        <v>1752</v>
      </c>
      <c r="Y1170" t="s">
        <v>326</v>
      </c>
      <c r="Z1170" t="s">
        <v>73</v>
      </c>
      <c r="AA1170" t="str">
        <f>"14127-1853"</f>
        <v>14127-1853</v>
      </c>
      <c r="AB1170" t="s">
        <v>74</v>
      </c>
      <c r="AC1170" t="s">
        <v>75</v>
      </c>
      <c r="AD1170" t="s">
        <v>72</v>
      </c>
      <c r="AE1170" t="s">
        <v>76</v>
      </c>
      <c r="AF1170" t="s">
        <v>3961</v>
      </c>
      <c r="AG1170" t="s">
        <v>77</v>
      </c>
    </row>
    <row r="1171" spans="1:33" x14ac:dyDescent="0.25">
      <c r="A1171" t="str">
        <f>"1245208446"</f>
        <v>1245208446</v>
      </c>
      <c r="B1171" t="str">
        <f>"01414882"</f>
        <v>01414882</v>
      </c>
      <c r="C1171" t="s">
        <v>7869</v>
      </c>
      <c r="D1171" t="s">
        <v>7870</v>
      </c>
      <c r="E1171" t="s">
        <v>7871</v>
      </c>
      <c r="G1171" t="s">
        <v>7872</v>
      </c>
      <c r="H1171" t="s">
        <v>7873</v>
      </c>
      <c r="J1171" t="s">
        <v>7874</v>
      </c>
      <c r="L1171" t="s">
        <v>79</v>
      </c>
      <c r="M1171" t="s">
        <v>72</v>
      </c>
      <c r="R1171" t="s">
        <v>7875</v>
      </c>
      <c r="W1171" t="s">
        <v>7871</v>
      </c>
      <c r="X1171" t="s">
        <v>7876</v>
      </c>
      <c r="Y1171" t="s">
        <v>117</v>
      </c>
      <c r="Z1171" t="s">
        <v>73</v>
      </c>
      <c r="AA1171" t="str">
        <f>"14203-1126"</f>
        <v>14203-1126</v>
      </c>
      <c r="AB1171" t="s">
        <v>74</v>
      </c>
      <c r="AC1171" t="s">
        <v>75</v>
      </c>
      <c r="AD1171" t="s">
        <v>72</v>
      </c>
      <c r="AE1171" t="s">
        <v>76</v>
      </c>
      <c r="AF1171" t="s">
        <v>3974</v>
      </c>
      <c r="AG1171" t="s">
        <v>77</v>
      </c>
    </row>
    <row r="1172" spans="1:33" x14ac:dyDescent="0.25">
      <c r="A1172" t="str">
        <f>"1043286651"</f>
        <v>1043286651</v>
      </c>
      <c r="B1172" t="str">
        <f>"01132250"</f>
        <v>01132250</v>
      </c>
      <c r="C1172" t="s">
        <v>7877</v>
      </c>
      <c r="D1172" t="s">
        <v>3090</v>
      </c>
      <c r="E1172" t="s">
        <v>3091</v>
      </c>
      <c r="G1172" t="s">
        <v>4747</v>
      </c>
      <c r="H1172" t="s">
        <v>793</v>
      </c>
      <c r="J1172" t="s">
        <v>4748</v>
      </c>
      <c r="L1172" t="s">
        <v>79</v>
      </c>
      <c r="M1172" t="s">
        <v>72</v>
      </c>
      <c r="R1172" t="s">
        <v>3092</v>
      </c>
      <c r="W1172" t="s">
        <v>3091</v>
      </c>
      <c r="X1172" t="s">
        <v>1801</v>
      </c>
      <c r="Y1172" t="s">
        <v>117</v>
      </c>
      <c r="Z1172" t="s">
        <v>73</v>
      </c>
      <c r="AA1172" t="str">
        <f>"14214-8001"</f>
        <v>14214-8001</v>
      </c>
      <c r="AB1172" t="s">
        <v>74</v>
      </c>
      <c r="AC1172" t="s">
        <v>75</v>
      </c>
      <c r="AD1172" t="s">
        <v>72</v>
      </c>
      <c r="AE1172" t="s">
        <v>76</v>
      </c>
      <c r="AF1172" t="s">
        <v>3974</v>
      </c>
      <c r="AG1172" t="s">
        <v>77</v>
      </c>
    </row>
    <row r="1173" spans="1:33" x14ac:dyDescent="0.25">
      <c r="A1173" t="str">
        <f>"1649232059"</f>
        <v>1649232059</v>
      </c>
      <c r="B1173" t="str">
        <f>"02648786"</f>
        <v>02648786</v>
      </c>
      <c r="C1173" t="s">
        <v>7878</v>
      </c>
      <c r="D1173" t="s">
        <v>7879</v>
      </c>
      <c r="E1173" t="s">
        <v>7880</v>
      </c>
      <c r="G1173" t="s">
        <v>7878</v>
      </c>
      <c r="H1173" t="s">
        <v>4763</v>
      </c>
      <c r="J1173" t="s">
        <v>7881</v>
      </c>
      <c r="L1173" t="s">
        <v>79</v>
      </c>
      <c r="M1173" t="s">
        <v>72</v>
      </c>
      <c r="R1173" t="s">
        <v>7882</v>
      </c>
      <c r="W1173" t="s">
        <v>7880</v>
      </c>
      <c r="X1173" t="s">
        <v>234</v>
      </c>
      <c r="Y1173" t="s">
        <v>117</v>
      </c>
      <c r="Z1173" t="s">
        <v>73</v>
      </c>
      <c r="AA1173" t="str">
        <f>"14220-2039"</f>
        <v>14220-2039</v>
      </c>
      <c r="AB1173" t="s">
        <v>74</v>
      </c>
      <c r="AC1173" t="s">
        <v>75</v>
      </c>
      <c r="AD1173" t="s">
        <v>72</v>
      </c>
      <c r="AE1173" t="s">
        <v>76</v>
      </c>
      <c r="AF1173" t="s">
        <v>3974</v>
      </c>
      <c r="AG1173" t="s">
        <v>77</v>
      </c>
    </row>
    <row r="1174" spans="1:33" x14ac:dyDescent="0.25">
      <c r="A1174" t="str">
        <f>"1801871843"</f>
        <v>1801871843</v>
      </c>
      <c r="B1174" t="str">
        <f>"00652882"</f>
        <v>00652882</v>
      </c>
      <c r="C1174" t="s">
        <v>7883</v>
      </c>
      <c r="D1174" t="s">
        <v>3715</v>
      </c>
      <c r="E1174" t="s">
        <v>3716</v>
      </c>
      <c r="G1174" t="s">
        <v>5001</v>
      </c>
      <c r="H1174" t="s">
        <v>640</v>
      </c>
      <c r="J1174" t="s">
        <v>5002</v>
      </c>
      <c r="L1174" t="s">
        <v>80</v>
      </c>
      <c r="M1174" t="s">
        <v>72</v>
      </c>
      <c r="R1174" t="s">
        <v>3717</v>
      </c>
      <c r="W1174" t="s">
        <v>3716</v>
      </c>
      <c r="X1174" t="s">
        <v>2473</v>
      </c>
      <c r="Y1174" t="s">
        <v>117</v>
      </c>
      <c r="Z1174" t="s">
        <v>73</v>
      </c>
      <c r="AA1174" t="str">
        <f>"14209-1603"</f>
        <v>14209-1603</v>
      </c>
      <c r="AB1174" t="s">
        <v>74</v>
      </c>
      <c r="AC1174" t="s">
        <v>75</v>
      </c>
      <c r="AD1174" t="s">
        <v>72</v>
      </c>
      <c r="AE1174" t="s">
        <v>76</v>
      </c>
      <c r="AF1174" t="s">
        <v>3961</v>
      </c>
      <c r="AG1174" t="s">
        <v>77</v>
      </c>
    </row>
    <row r="1175" spans="1:33" x14ac:dyDescent="0.25">
      <c r="A1175" t="str">
        <f>"1417037755"</f>
        <v>1417037755</v>
      </c>
      <c r="B1175" t="str">
        <f>"02282048"</f>
        <v>02282048</v>
      </c>
      <c r="C1175" t="s">
        <v>7884</v>
      </c>
      <c r="D1175" t="s">
        <v>935</v>
      </c>
      <c r="E1175" t="s">
        <v>936</v>
      </c>
      <c r="G1175" t="s">
        <v>7885</v>
      </c>
      <c r="H1175" t="s">
        <v>937</v>
      </c>
      <c r="J1175" t="s">
        <v>7886</v>
      </c>
      <c r="L1175" t="s">
        <v>80</v>
      </c>
      <c r="M1175" t="s">
        <v>81</v>
      </c>
      <c r="R1175" t="s">
        <v>938</v>
      </c>
      <c r="W1175" t="s">
        <v>936</v>
      </c>
      <c r="X1175" t="s">
        <v>939</v>
      </c>
      <c r="Y1175" t="s">
        <v>117</v>
      </c>
      <c r="Z1175" t="s">
        <v>73</v>
      </c>
      <c r="AA1175" t="str">
        <f>"14222-2099"</f>
        <v>14222-2099</v>
      </c>
      <c r="AB1175" t="s">
        <v>74</v>
      </c>
      <c r="AC1175" t="s">
        <v>75</v>
      </c>
      <c r="AD1175" t="s">
        <v>72</v>
      </c>
      <c r="AE1175" t="s">
        <v>76</v>
      </c>
      <c r="AF1175" t="s">
        <v>7887</v>
      </c>
      <c r="AG1175" t="s">
        <v>77</v>
      </c>
    </row>
    <row r="1176" spans="1:33" x14ac:dyDescent="0.25">
      <c r="A1176" t="str">
        <f>"1891772836"</f>
        <v>1891772836</v>
      </c>
      <c r="B1176" t="str">
        <f>"01367028"</f>
        <v>01367028</v>
      </c>
      <c r="C1176" t="s">
        <v>7888</v>
      </c>
      <c r="D1176" t="s">
        <v>7889</v>
      </c>
      <c r="E1176" t="s">
        <v>7890</v>
      </c>
      <c r="G1176" t="s">
        <v>7891</v>
      </c>
      <c r="H1176" t="s">
        <v>7892</v>
      </c>
      <c r="J1176" t="s">
        <v>7893</v>
      </c>
      <c r="L1176" t="s">
        <v>80</v>
      </c>
      <c r="M1176" t="s">
        <v>72</v>
      </c>
      <c r="R1176" t="s">
        <v>7894</v>
      </c>
      <c r="W1176" t="s">
        <v>7890</v>
      </c>
      <c r="X1176" t="s">
        <v>2581</v>
      </c>
      <c r="Y1176" t="s">
        <v>1079</v>
      </c>
      <c r="Z1176" t="s">
        <v>73</v>
      </c>
      <c r="AA1176" t="str">
        <f>"14075-3762"</f>
        <v>14075-3762</v>
      </c>
      <c r="AB1176" t="s">
        <v>74</v>
      </c>
      <c r="AC1176" t="s">
        <v>75</v>
      </c>
      <c r="AD1176" t="s">
        <v>72</v>
      </c>
      <c r="AE1176" t="s">
        <v>76</v>
      </c>
      <c r="AF1176" t="s">
        <v>3961</v>
      </c>
      <c r="AG1176" t="s">
        <v>77</v>
      </c>
    </row>
    <row r="1177" spans="1:33" x14ac:dyDescent="0.25">
      <c r="A1177" t="str">
        <f>"1740266048"</f>
        <v>1740266048</v>
      </c>
      <c r="B1177" t="str">
        <f>"02141977"</f>
        <v>02141977</v>
      </c>
      <c r="C1177" t="s">
        <v>7895</v>
      </c>
      <c r="D1177" t="s">
        <v>2462</v>
      </c>
      <c r="E1177" t="s">
        <v>2463</v>
      </c>
      <c r="G1177" t="s">
        <v>7896</v>
      </c>
      <c r="H1177" t="s">
        <v>717</v>
      </c>
      <c r="J1177" t="s">
        <v>7897</v>
      </c>
      <c r="L1177" t="s">
        <v>79</v>
      </c>
      <c r="M1177" t="s">
        <v>72</v>
      </c>
      <c r="R1177" t="s">
        <v>2464</v>
      </c>
      <c r="W1177" t="s">
        <v>2463</v>
      </c>
      <c r="X1177" t="s">
        <v>2465</v>
      </c>
      <c r="Y1177" t="s">
        <v>117</v>
      </c>
      <c r="Z1177" t="s">
        <v>73</v>
      </c>
      <c r="AA1177" t="str">
        <f>"14209-1194"</f>
        <v>14209-1194</v>
      </c>
      <c r="AB1177" t="s">
        <v>74</v>
      </c>
      <c r="AC1177" t="s">
        <v>75</v>
      </c>
      <c r="AD1177" t="s">
        <v>72</v>
      </c>
      <c r="AE1177" t="s">
        <v>76</v>
      </c>
      <c r="AF1177" t="s">
        <v>4043</v>
      </c>
      <c r="AG1177" t="s">
        <v>77</v>
      </c>
    </row>
    <row r="1178" spans="1:33" x14ac:dyDescent="0.25">
      <c r="A1178" t="str">
        <f>"1003852989"</f>
        <v>1003852989</v>
      </c>
      <c r="B1178" t="str">
        <f>"00653681"</f>
        <v>00653681</v>
      </c>
      <c r="C1178" t="s">
        <v>7898</v>
      </c>
      <c r="D1178" t="s">
        <v>7899</v>
      </c>
      <c r="E1178" t="s">
        <v>7900</v>
      </c>
      <c r="G1178" t="s">
        <v>5380</v>
      </c>
      <c r="H1178" t="s">
        <v>2898</v>
      </c>
      <c r="J1178" t="s">
        <v>5381</v>
      </c>
      <c r="L1178" t="s">
        <v>79</v>
      </c>
      <c r="M1178" t="s">
        <v>72</v>
      </c>
      <c r="R1178" t="s">
        <v>7901</v>
      </c>
      <c r="W1178" t="s">
        <v>7900</v>
      </c>
      <c r="X1178" t="s">
        <v>1320</v>
      </c>
      <c r="Y1178" t="s">
        <v>117</v>
      </c>
      <c r="Z1178" t="s">
        <v>73</v>
      </c>
      <c r="AA1178" t="str">
        <f>"14215-1145"</f>
        <v>14215-1145</v>
      </c>
      <c r="AB1178" t="s">
        <v>74</v>
      </c>
      <c r="AC1178" t="s">
        <v>75</v>
      </c>
      <c r="AD1178" t="s">
        <v>72</v>
      </c>
      <c r="AE1178" t="s">
        <v>76</v>
      </c>
      <c r="AF1178" t="s">
        <v>3974</v>
      </c>
      <c r="AG1178" t="s">
        <v>77</v>
      </c>
    </row>
    <row r="1179" spans="1:33" x14ac:dyDescent="0.25">
      <c r="A1179" t="str">
        <f>"1023012853"</f>
        <v>1023012853</v>
      </c>
      <c r="B1179" t="str">
        <f>"02047143"</f>
        <v>02047143</v>
      </c>
      <c r="C1179" t="s">
        <v>7902</v>
      </c>
      <c r="D1179" t="s">
        <v>2582</v>
      </c>
      <c r="E1179" t="s">
        <v>2583</v>
      </c>
      <c r="G1179" t="s">
        <v>3976</v>
      </c>
      <c r="H1179" t="s">
        <v>1372</v>
      </c>
      <c r="J1179" t="s">
        <v>3977</v>
      </c>
      <c r="L1179" t="s">
        <v>80</v>
      </c>
      <c r="M1179" t="s">
        <v>72</v>
      </c>
      <c r="R1179" t="s">
        <v>2584</v>
      </c>
      <c r="W1179" t="s">
        <v>2585</v>
      </c>
      <c r="X1179" t="s">
        <v>2586</v>
      </c>
      <c r="Y1179" t="s">
        <v>1351</v>
      </c>
      <c r="Z1179" t="s">
        <v>73</v>
      </c>
      <c r="AA1179" t="str">
        <f>"14111"</f>
        <v>14111</v>
      </c>
      <c r="AB1179" t="s">
        <v>74</v>
      </c>
      <c r="AC1179" t="s">
        <v>75</v>
      </c>
      <c r="AD1179" t="s">
        <v>72</v>
      </c>
      <c r="AE1179" t="s">
        <v>76</v>
      </c>
      <c r="AF1179" t="s">
        <v>3961</v>
      </c>
      <c r="AG1179" t="s">
        <v>77</v>
      </c>
    </row>
    <row r="1180" spans="1:33" x14ac:dyDescent="0.25">
      <c r="A1180" t="str">
        <f>"1821012683"</f>
        <v>1821012683</v>
      </c>
      <c r="B1180" t="str">
        <f>"01925680"</f>
        <v>01925680</v>
      </c>
      <c r="C1180" t="s">
        <v>7903</v>
      </c>
      <c r="D1180" t="s">
        <v>7904</v>
      </c>
      <c r="E1180" t="s">
        <v>7905</v>
      </c>
      <c r="G1180" t="s">
        <v>7903</v>
      </c>
      <c r="H1180" t="s">
        <v>5977</v>
      </c>
      <c r="L1180" t="s">
        <v>79</v>
      </c>
      <c r="M1180" t="s">
        <v>81</v>
      </c>
      <c r="R1180" t="s">
        <v>7906</v>
      </c>
      <c r="W1180" t="s">
        <v>7905</v>
      </c>
      <c r="X1180" t="s">
        <v>369</v>
      </c>
      <c r="Y1180" t="s">
        <v>117</v>
      </c>
      <c r="Z1180" t="s">
        <v>73</v>
      </c>
      <c r="AA1180" t="str">
        <f>"14209-2412"</f>
        <v>14209-2412</v>
      </c>
      <c r="AB1180" t="s">
        <v>74</v>
      </c>
      <c r="AC1180" t="s">
        <v>75</v>
      </c>
      <c r="AD1180" t="s">
        <v>72</v>
      </c>
      <c r="AE1180" t="s">
        <v>76</v>
      </c>
      <c r="AF1180" t="s">
        <v>3974</v>
      </c>
      <c r="AG1180" t="s">
        <v>77</v>
      </c>
    </row>
    <row r="1181" spans="1:33" x14ac:dyDescent="0.25">
      <c r="A1181" t="str">
        <f>"1063599595"</f>
        <v>1063599595</v>
      </c>
      <c r="B1181" t="str">
        <f>"01969117"</f>
        <v>01969117</v>
      </c>
      <c r="C1181" t="s">
        <v>7907</v>
      </c>
      <c r="D1181" t="s">
        <v>3193</v>
      </c>
      <c r="E1181" t="s">
        <v>3194</v>
      </c>
      <c r="G1181" t="s">
        <v>3952</v>
      </c>
      <c r="H1181" t="s">
        <v>3953</v>
      </c>
      <c r="J1181" t="s">
        <v>3954</v>
      </c>
      <c r="L1181" t="s">
        <v>80</v>
      </c>
      <c r="M1181" t="s">
        <v>72</v>
      </c>
      <c r="R1181" t="s">
        <v>294</v>
      </c>
      <c r="W1181" t="s">
        <v>3195</v>
      </c>
      <c r="X1181" t="s">
        <v>3196</v>
      </c>
      <c r="Y1181" t="s">
        <v>378</v>
      </c>
      <c r="Z1181" t="s">
        <v>73</v>
      </c>
      <c r="AA1181" t="str">
        <f>"14779-9625"</f>
        <v>14779-9625</v>
      </c>
      <c r="AB1181" t="s">
        <v>74</v>
      </c>
      <c r="AC1181" t="s">
        <v>75</v>
      </c>
      <c r="AD1181" t="s">
        <v>72</v>
      </c>
      <c r="AE1181" t="s">
        <v>76</v>
      </c>
      <c r="AG1181" t="s">
        <v>77</v>
      </c>
    </row>
    <row r="1182" spans="1:33" x14ac:dyDescent="0.25">
      <c r="A1182" t="str">
        <f>"1255302345"</f>
        <v>1255302345</v>
      </c>
      <c r="B1182" t="str">
        <f>"01371613"</f>
        <v>01371613</v>
      </c>
      <c r="C1182" t="s">
        <v>7908</v>
      </c>
      <c r="D1182" t="s">
        <v>7909</v>
      </c>
      <c r="E1182" t="s">
        <v>7910</v>
      </c>
      <c r="G1182" t="s">
        <v>7908</v>
      </c>
      <c r="H1182" t="s">
        <v>4732</v>
      </c>
      <c r="J1182" t="s">
        <v>7911</v>
      </c>
      <c r="L1182" t="s">
        <v>79</v>
      </c>
      <c r="M1182" t="s">
        <v>72</v>
      </c>
      <c r="R1182" t="s">
        <v>7912</v>
      </c>
      <c r="W1182" t="s">
        <v>7910</v>
      </c>
      <c r="X1182" t="s">
        <v>7913</v>
      </c>
      <c r="Y1182" t="s">
        <v>117</v>
      </c>
      <c r="Z1182" t="s">
        <v>73</v>
      </c>
      <c r="AA1182" t="str">
        <f>"14220-2039"</f>
        <v>14220-2039</v>
      </c>
      <c r="AB1182" t="s">
        <v>74</v>
      </c>
      <c r="AC1182" t="s">
        <v>75</v>
      </c>
      <c r="AD1182" t="s">
        <v>72</v>
      </c>
      <c r="AE1182" t="s">
        <v>76</v>
      </c>
      <c r="AF1182" t="s">
        <v>3974</v>
      </c>
      <c r="AG1182" t="s">
        <v>77</v>
      </c>
    </row>
    <row r="1183" spans="1:33" x14ac:dyDescent="0.25">
      <c r="A1183" t="str">
        <f>"1023066065"</f>
        <v>1023066065</v>
      </c>
      <c r="B1183" t="str">
        <f>"01091923"</f>
        <v>01091923</v>
      </c>
      <c r="C1183" t="s">
        <v>7914</v>
      </c>
      <c r="D1183" t="s">
        <v>2875</v>
      </c>
      <c r="E1183" t="s">
        <v>2876</v>
      </c>
      <c r="G1183" t="s">
        <v>7915</v>
      </c>
      <c r="H1183" t="s">
        <v>2543</v>
      </c>
      <c r="J1183" t="s">
        <v>7916</v>
      </c>
      <c r="L1183" t="s">
        <v>79</v>
      </c>
      <c r="M1183" t="s">
        <v>72</v>
      </c>
      <c r="R1183" t="s">
        <v>2877</v>
      </c>
      <c r="W1183" t="s">
        <v>2876</v>
      </c>
      <c r="X1183" t="s">
        <v>220</v>
      </c>
      <c r="Y1183" t="s">
        <v>221</v>
      </c>
      <c r="Z1183" t="s">
        <v>73</v>
      </c>
      <c r="AA1183" t="str">
        <f>"14221-3647"</f>
        <v>14221-3647</v>
      </c>
      <c r="AB1183" t="s">
        <v>74</v>
      </c>
      <c r="AC1183" t="s">
        <v>75</v>
      </c>
      <c r="AD1183" t="s">
        <v>72</v>
      </c>
      <c r="AE1183" t="s">
        <v>76</v>
      </c>
      <c r="AF1183" t="s">
        <v>3974</v>
      </c>
      <c r="AG1183" t="s">
        <v>77</v>
      </c>
    </row>
    <row r="1184" spans="1:33" x14ac:dyDescent="0.25">
      <c r="A1184" t="str">
        <f>"1639136682"</f>
        <v>1639136682</v>
      </c>
      <c r="B1184" t="str">
        <f>"01843425"</f>
        <v>01843425</v>
      </c>
      <c r="C1184" t="s">
        <v>7917</v>
      </c>
      <c r="D1184" t="s">
        <v>2416</v>
      </c>
      <c r="E1184" t="s">
        <v>2417</v>
      </c>
      <c r="G1184" t="s">
        <v>7917</v>
      </c>
      <c r="H1184" t="s">
        <v>7918</v>
      </c>
      <c r="J1184" t="s">
        <v>7919</v>
      </c>
      <c r="L1184" t="s">
        <v>71</v>
      </c>
      <c r="M1184" t="s">
        <v>72</v>
      </c>
      <c r="R1184" t="s">
        <v>2418</v>
      </c>
      <c r="W1184" t="s">
        <v>2417</v>
      </c>
      <c r="X1184" t="s">
        <v>1425</v>
      </c>
      <c r="Y1184" t="s">
        <v>228</v>
      </c>
      <c r="Z1184" t="s">
        <v>73</v>
      </c>
      <c r="AA1184" t="str">
        <f>"14226-1206"</f>
        <v>14226-1206</v>
      </c>
      <c r="AB1184" t="s">
        <v>74</v>
      </c>
      <c r="AC1184" t="s">
        <v>75</v>
      </c>
      <c r="AD1184" t="s">
        <v>72</v>
      </c>
      <c r="AE1184" t="s">
        <v>76</v>
      </c>
      <c r="AG1184" t="s">
        <v>77</v>
      </c>
    </row>
    <row r="1185" spans="1:33" x14ac:dyDescent="0.25">
      <c r="A1185" t="str">
        <f>"1407063241"</f>
        <v>1407063241</v>
      </c>
      <c r="B1185" t="str">
        <f>"03447830"</f>
        <v>03447830</v>
      </c>
      <c r="C1185" t="s">
        <v>7920</v>
      </c>
      <c r="D1185" t="s">
        <v>7921</v>
      </c>
      <c r="E1185" t="s">
        <v>7922</v>
      </c>
      <c r="G1185" t="s">
        <v>3988</v>
      </c>
      <c r="H1185" t="s">
        <v>5317</v>
      </c>
      <c r="J1185" t="s">
        <v>3989</v>
      </c>
      <c r="L1185" t="s">
        <v>79</v>
      </c>
      <c r="M1185" t="s">
        <v>72</v>
      </c>
      <c r="R1185" t="s">
        <v>7923</v>
      </c>
      <c r="W1185" t="s">
        <v>7922</v>
      </c>
      <c r="X1185" t="s">
        <v>1529</v>
      </c>
      <c r="Y1185" t="s">
        <v>221</v>
      </c>
      <c r="Z1185" t="s">
        <v>73</v>
      </c>
      <c r="AA1185" t="str">
        <f>"14221-7717"</f>
        <v>14221-7717</v>
      </c>
      <c r="AB1185" t="s">
        <v>74</v>
      </c>
      <c r="AC1185" t="s">
        <v>75</v>
      </c>
      <c r="AD1185" t="s">
        <v>72</v>
      </c>
      <c r="AE1185" t="s">
        <v>76</v>
      </c>
      <c r="AF1185" t="s">
        <v>3974</v>
      </c>
      <c r="AG1185" t="s">
        <v>77</v>
      </c>
    </row>
    <row r="1186" spans="1:33" x14ac:dyDescent="0.25">
      <c r="A1186" t="str">
        <f>"1942437652"</f>
        <v>1942437652</v>
      </c>
      <c r="B1186" t="str">
        <f>"03478659"</f>
        <v>03478659</v>
      </c>
      <c r="C1186" t="s">
        <v>7924</v>
      </c>
      <c r="D1186" t="s">
        <v>7925</v>
      </c>
      <c r="E1186" t="s">
        <v>7926</v>
      </c>
      <c r="G1186" t="s">
        <v>7924</v>
      </c>
      <c r="H1186" t="s">
        <v>6798</v>
      </c>
      <c r="J1186" t="s">
        <v>7927</v>
      </c>
      <c r="L1186" t="s">
        <v>71</v>
      </c>
      <c r="M1186" t="s">
        <v>72</v>
      </c>
      <c r="R1186" t="s">
        <v>7928</v>
      </c>
      <c r="W1186" t="s">
        <v>7926</v>
      </c>
      <c r="X1186" t="s">
        <v>1146</v>
      </c>
      <c r="Y1186" t="s">
        <v>436</v>
      </c>
      <c r="Z1186" t="s">
        <v>73</v>
      </c>
      <c r="AA1186" t="str">
        <f>"14217-1304"</f>
        <v>14217-1304</v>
      </c>
      <c r="AB1186" t="s">
        <v>74</v>
      </c>
      <c r="AC1186" t="s">
        <v>75</v>
      </c>
      <c r="AD1186" t="s">
        <v>72</v>
      </c>
      <c r="AE1186" t="s">
        <v>76</v>
      </c>
      <c r="AF1186" t="s">
        <v>3974</v>
      </c>
      <c r="AG1186" t="s">
        <v>77</v>
      </c>
    </row>
    <row r="1187" spans="1:33" x14ac:dyDescent="0.25">
      <c r="A1187" t="str">
        <f>"1982653630"</f>
        <v>1982653630</v>
      </c>
      <c r="B1187" t="str">
        <f>"02383195"</f>
        <v>02383195</v>
      </c>
      <c r="C1187" t="s">
        <v>7929</v>
      </c>
      <c r="D1187" t="s">
        <v>3659</v>
      </c>
      <c r="E1187" t="s">
        <v>3660</v>
      </c>
      <c r="G1187" t="s">
        <v>5164</v>
      </c>
      <c r="H1187" t="s">
        <v>5165</v>
      </c>
      <c r="J1187" t="s">
        <v>5166</v>
      </c>
      <c r="L1187" t="s">
        <v>71</v>
      </c>
      <c r="M1187" t="s">
        <v>72</v>
      </c>
      <c r="R1187" t="s">
        <v>3661</v>
      </c>
      <c r="W1187" t="s">
        <v>3660</v>
      </c>
      <c r="X1187" t="s">
        <v>2531</v>
      </c>
      <c r="Y1187" t="s">
        <v>117</v>
      </c>
      <c r="Z1187" t="s">
        <v>73</v>
      </c>
      <c r="AA1187" t="str">
        <f>"14203-1194"</f>
        <v>14203-1194</v>
      </c>
      <c r="AB1187" t="s">
        <v>74</v>
      </c>
      <c r="AC1187" t="s">
        <v>75</v>
      </c>
      <c r="AD1187" t="s">
        <v>72</v>
      </c>
      <c r="AE1187" t="s">
        <v>76</v>
      </c>
      <c r="AG1187" t="s">
        <v>77</v>
      </c>
    </row>
    <row r="1188" spans="1:33" x14ac:dyDescent="0.25">
      <c r="A1188" t="str">
        <f>"1083608418"</f>
        <v>1083608418</v>
      </c>
      <c r="B1188" t="str">
        <f>"02976387"</f>
        <v>02976387</v>
      </c>
      <c r="C1188" t="s">
        <v>7930</v>
      </c>
      <c r="D1188" t="s">
        <v>2358</v>
      </c>
      <c r="E1188" t="s">
        <v>2359</v>
      </c>
      <c r="G1188" t="s">
        <v>4047</v>
      </c>
      <c r="H1188" t="s">
        <v>634</v>
      </c>
      <c r="J1188" t="s">
        <v>4048</v>
      </c>
      <c r="L1188" t="s">
        <v>80</v>
      </c>
      <c r="M1188" t="s">
        <v>72</v>
      </c>
      <c r="R1188" t="s">
        <v>2360</v>
      </c>
      <c r="W1188" t="s">
        <v>2361</v>
      </c>
      <c r="X1188" t="s">
        <v>2362</v>
      </c>
      <c r="Y1188" t="s">
        <v>354</v>
      </c>
      <c r="Z1188" t="s">
        <v>73</v>
      </c>
      <c r="AA1188" t="str">
        <f>"14787-0010"</f>
        <v>14787-0010</v>
      </c>
      <c r="AB1188" t="s">
        <v>74</v>
      </c>
      <c r="AC1188" t="s">
        <v>75</v>
      </c>
      <c r="AD1188" t="s">
        <v>72</v>
      </c>
      <c r="AE1188" t="s">
        <v>76</v>
      </c>
      <c r="AF1188" t="s">
        <v>4049</v>
      </c>
      <c r="AG1188" t="s">
        <v>77</v>
      </c>
    </row>
    <row r="1189" spans="1:33" x14ac:dyDescent="0.25">
      <c r="A1189" t="str">
        <f>"1831316447"</f>
        <v>1831316447</v>
      </c>
      <c r="B1189" t="str">
        <f>"03485187"</f>
        <v>03485187</v>
      </c>
      <c r="C1189" t="s">
        <v>7931</v>
      </c>
      <c r="D1189" t="s">
        <v>7932</v>
      </c>
      <c r="E1189" t="s">
        <v>7933</v>
      </c>
      <c r="G1189" t="s">
        <v>7934</v>
      </c>
      <c r="H1189" t="s">
        <v>3642</v>
      </c>
      <c r="J1189" t="s">
        <v>7935</v>
      </c>
      <c r="L1189" t="s">
        <v>79</v>
      </c>
      <c r="M1189" t="s">
        <v>72</v>
      </c>
      <c r="R1189" t="s">
        <v>7936</v>
      </c>
      <c r="W1189" t="s">
        <v>7933</v>
      </c>
      <c r="X1189" t="s">
        <v>7937</v>
      </c>
      <c r="Y1189" t="s">
        <v>570</v>
      </c>
      <c r="Z1189" t="s">
        <v>73</v>
      </c>
      <c r="AA1189" t="str">
        <f>"14051-2610"</f>
        <v>14051-2610</v>
      </c>
      <c r="AB1189" t="s">
        <v>74</v>
      </c>
      <c r="AC1189" t="s">
        <v>75</v>
      </c>
      <c r="AD1189" t="s">
        <v>72</v>
      </c>
      <c r="AE1189" t="s">
        <v>76</v>
      </c>
      <c r="AF1189" t="s">
        <v>3974</v>
      </c>
      <c r="AG1189" t="s">
        <v>77</v>
      </c>
    </row>
    <row r="1190" spans="1:33" x14ac:dyDescent="0.25">
      <c r="A1190" t="str">
        <f>"1326109083"</f>
        <v>1326109083</v>
      </c>
      <c r="B1190" t="str">
        <f>"01752969"</f>
        <v>01752969</v>
      </c>
      <c r="C1190" t="s">
        <v>7938</v>
      </c>
      <c r="D1190" t="s">
        <v>2587</v>
      </c>
      <c r="E1190" t="s">
        <v>2588</v>
      </c>
      <c r="G1190" t="s">
        <v>7939</v>
      </c>
      <c r="H1190" t="s">
        <v>789</v>
      </c>
      <c r="J1190" t="s">
        <v>7940</v>
      </c>
      <c r="L1190" t="s">
        <v>79</v>
      </c>
      <c r="M1190" t="s">
        <v>72</v>
      </c>
      <c r="R1190" t="s">
        <v>2589</v>
      </c>
      <c r="W1190" t="s">
        <v>2588</v>
      </c>
      <c r="X1190" t="s">
        <v>734</v>
      </c>
      <c r="Y1190" t="s">
        <v>117</v>
      </c>
      <c r="Z1190" t="s">
        <v>73</v>
      </c>
      <c r="AA1190" t="str">
        <f>"14203-1154"</f>
        <v>14203-1154</v>
      </c>
      <c r="AB1190" t="s">
        <v>74</v>
      </c>
      <c r="AC1190" t="s">
        <v>75</v>
      </c>
      <c r="AD1190" t="s">
        <v>72</v>
      </c>
      <c r="AE1190" t="s">
        <v>76</v>
      </c>
      <c r="AF1190" t="s">
        <v>3974</v>
      </c>
      <c r="AG1190" t="s">
        <v>77</v>
      </c>
    </row>
    <row r="1191" spans="1:33" x14ac:dyDescent="0.25">
      <c r="A1191" t="str">
        <f>"1699772343"</f>
        <v>1699772343</v>
      </c>
      <c r="B1191" t="str">
        <f>"01080735"</f>
        <v>01080735</v>
      </c>
      <c r="C1191" t="s">
        <v>7941</v>
      </c>
      <c r="D1191" t="s">
        <v>7942</v>
      </c>
      <c r="E1191" t="s">
        <v>7943</v>
      </c>
      <c r="G1191" t="s">
        <v>4768</v>
      </c>
      <c r="H1191" t="s">
        <v>4769</v>
      </c>
      <c r="J1191" t="s">
        <v>4770</v>
      </c>
      <c r="L1191" t="s">
        <v>106</v>
      </c>
      <c r="M1191" t="s">
        <v>72</v>
      </c>
      <c r="R1191" t="s">
        <v>7944</v>
      </c>
      <c r="W1191" t="s">
        <v>7943</v>
      </c>
      <c r="X1191" t="s">
        <v>291</v>
      </c>
      <c r="Y1191" t="s">
        <v>117</v>
      </c>
      <c r="Z1191" t="s">
        <v>73</v>
      </c>
      <c r="AA1191" t="str">
        <f>"14203-1560"</f>
        <v>14203-1560</v>
      </c>
      <c r="AB1191" t="s">
        <v>83</v>
      </c>
      <c r="AC1191" t="s">
        <v>75</v>
      </c>
      <c r="AD1191" t="s">
        <v>72</v>
      </c>
      <c r="AE1191" t="s">
        <v>76</v>
      </c>
      <c r="AF1191" t="s">
        <v>4078</v>
      </c>
      <c r="AG1191" t="s">
        <v>77</v>
      </c>
    </row>
    <row r="1192" spans="1:33" x14ac:dyDescent="0.25">
      <c r="A1192" t="str">
        <f>"1245211986"</f>
        <v>1245211986</v>
      </c>
      <c r="B1192" t="str">
        <f>"02209314"</f>
        <v>02209314</v>
      </c>
      <c r="C1192" t="s">
        <v>7945</v>
      </c>
      <c r="D1192" t="s">
        <v>7946</v>
      </c>
      <c r="E1192" t="s">
        <v>7947</v>
      </c>
      <c r="L1192" t="s">
        <v>79</v>
      </c>
      <c r="M1192" t="s">
        <v>72</v>
      </c>
      <c r="R1192" t="s">
        <v>7947</v>
      </c>
      <c r="W1192" t="s">
        <v>7947</v>
      </c>
      <c r="X1192" t="s">
        <v>7948</v>
      </c>
      <c r="Y1192" t="s">
        <v>7949</v>
      </c>
      <c r="Z1192" t="s">
        <v>73</v>
      </c>
      <c r="AA1192" t="str">
        <f>"14263"</f>
        <v>14263</v>
      </c>
      <c r="AB1192" t="s">
        <v>100</v>
      </c>
      <c r="AC1192" t="s">
        <v>75</v>
      </c>
      <c r="AD1192" t="s">
        <v>72</v>
      </c>
      <c r="AE1192" t="s">
        <v>76</v>
      </c>
      <c r="AG1192" t="s">
        <v>77</v>
      </c>
    </row>
    <row r="1193" spans="1:33" x14ac:dyDescent="0.25">
      <c r="A1193" t="str">
        <f>"1316039944"</f>
        <v>1316039944</v>
      </c>
      <c r="B1193" t="str">
        <f>"02792152"</f>
        <v>02792152</v>
      </c>
      <c r="C1193" t="s">
        <v>7950</v>
      </c>
      <c r="D1193" t="s">
        <v>7951</v>
      </c>
      <c r="E1193" t="s">
        <v>7952</v>
      </c>
      <c r="L1193" t="s">
        <v>71</v>
      </c>
      <c r="M1193" t="s">
        <v>72</v>
      </c>
      <c r="R1193" t="s">
        <v>7953</v>
      </c>
      <c r="W1193" t="s">
        <v>7952</v>
      </c>
      <c r="X1193" t="s">
        <v>204</v>
      </c>
      <c r="Y1193" t="s">
        <v>117</v>
      </c>
      <c r="Z1193" t="s">
        <v>73</v>
      </c>
      <c r="AA1193" t="str">
        <f>"14263-0001"</f>
        <v>14263-0001</v>
      </c>
      <c r="AB1193" t="s">
        <v>100</v>
      </c>
      <c r="AC1193" t="s">
        <v>75</v>
      </c>
      <c r="AD1193" t="s">
        <v>72</v>
      </c>
      <c r="AE1193" t="s">
        <v>76</v>
      </c>
      <c r="AG1193" t="s">
        <v>77</v>
      </c>
    </row>
    <row r="1194" spans="1:33" x14ac:dyDescent="0.25">
      <c r="A1194" t="str">
        <f>"1093951014"</f>
        <v>1093951014</v>
      </c>
      <c r="B1194" t="str">
        <f>"03067434"</f>
        <v>03067434</v>
      </c>
      <c r="C1194" t="s">
        <v>7954</v>
      </c>
      <c r="D1194" t="s">
        <v>7955</v>
      </c>
      <c r="E1194" t="s">
        <v>7956</v>
      </c>
      <c r="L1194" t="s">
        <v>71</v>
      </c>
      <c r="M1194" t="s">
        <v>72</v>
      </c>
      <c r="R1194" t="s">
        <v>7956</v>
      </c>
      <c r="W1194" t="s">
        <v>7957</v>
      </c>
      <c r="X1194" t="s">
        <v>204</v>
      </c>
      <c r="Y1194" t="s">
        <v>117</v>
      </c>
      <c r="Z1194" t="s">
        <v>73</v>
      </c>
      <c r="AA1194" t="str">
        <f>"14263-0001"</f>
        <v>14263-0001</v>
      </c>
      <c r="AB1194" t="s">
        <v>100</v>
      </c>
      <c r="AC1194" t="s">
        <v>75</v>
      </c>
      <c r="AD1194" t="s">
        <v>72</v>
      </c>
      <c r="AE1194" t="s">
        <v>76</v>
      </c>
      <c r="AG1194" t="s">
        <v>77</v>
      </c>
    </row>
    <row r="1195" spans="1:33" x14ac:dyDescent="0.25">
      <c r="A1195" t="str">
        <f>"1073584694"</f>
        <v>1073584694</v>
      </c>
      <c r="B1195" t="str">
        <f>"01255256"</f>
        <v>01255256</v>
      </c>
      <c r="C1195" t="s">
        <v>7958</v>
      </c>
      <c r="D1195" t="s">
        <v>7959</v>
      </c>
      <c r="E1195" t="s">
        <v>7960</v>
      </c>
      <c r="L1195" t="s">
        <v>80</v>
      </c>
      <c r="M1195" t="s">
        <v>81</v>
      </c>
      <c r="R1195" t="s">
        <v>7958</v>
      </c>
      <c r="W1195" t="s">
        <v>7960</v>
      </c>
      <c r="X1195" t="s">
        <v>241</v>
      </c>
      <c r="Y1195" t="s">
        <v>242</v>
      </c>
      <c r="Z1195" t="s">
        <v>73</v>
      </c>
      <c r="AA1195" t="str">
        <f>"14701-6820"</f>
        <v>14701-6820</v>
      </c>
      <c r="AB1195" t="s">
        <v>74</v>
      </c>
      <c r="AC1195" t="s">
        <v>75</v>
      </c>
      <c r="AD1195" t="s">
        <v>72</v>
      </c>
      <c r="AE1195" t="s">
        <v>76</v>
      </c>
      <c r="AF1195" t="s">
        <v>4049</v>
      </c>
      <c r="AG1195" t="s">
        <v>77</v>
      </c>
    </row>
    <row r="1196" spans="1:33" x14ac:dyDescent="0.25">
      <c r="A1196" t="str">
        <f>"1720075799"</f>
        <v>1720075799</v>
      </c>
      <c r="B1196" t="str">
        <f>"01568143"</f>
        <v>01568143</v>
      </c>
      <c r="C1196" t="s">
        <v>7961</v>
      </c>
      <c r="D1196" t="s">
        <v>7962</v>
      </c>
      <c r="E1196" t="s">
        <v>7963</v>
      </c>
      <c r="L1196" t="s">
        <v>79</v>
      </c>
      <c r="M1196" t="s">
        <v>72</v>
      </c>
      <c r="R1196" t="s">
        <v>7961</v>
      </c>
      <c r="W1196" t="s">
        <v>7964</v>
      </c>
      <c r="X1196" t="s">
        <v>7965</v>
      </c>
      <c r="Y1196" t="s">
        <v>242</v>
      </c>
      <c r="Z1196" t="s">
        <v>73</v>
      </c>
      <c r="AA1196" t="str">
        <f>"14701-7079"</f>
        <v>14701-7079</v>
      </c>
      <c r="AB1196" t="s">
        <v>74</v>
      </c>
      <c r="AC1196" t="s">
        <v>75</v>
      </c>
      <c r="AD1196" t="s">
        <v>72</v>
      </c>
      <c r="AE1196" t="s">
        <v>76</v>
      </c>
      <c r="AF1196" t="s">
        <v>7966</v>
      </c>
      <c r="AG1196" t="s">
        <v>77</v>
      </c>
    </row>
    <row r="1197" spans="1:33" x14ac:dyDescent="0.25">
      <c r="A1197" t="str">
        <f>"1871580043"</f>
        <v>1871580043</v>
      </c>
      <c r="B1197" t="str">
        <f>"00591213"</f>
        <v>00591213</v>
      </c>
      <c r="C1197" t="s">
        <v>7967</v>
      </c>
      <c r="D1197" t="s">
        <v>7968</v>
      </c>
      <c r="E1197" t="s">
        <v>7969</v>
      </c>
      <c r="L1197" t="s">
        <v>79</v>
      </c>
      <c r="M1197" t="s">
        <v>72</v>
      </c>
      <c r="R1197" t="s">
        <v>7967</v>
      </c>
      <c r="W1197" t="s">
        <v>7969</v>
      </c>
      <c r="Y1197" t="s">
        <v>242</v>
      </c>
      <c r="Z1197" t="s">
        <v>73</v>
      </c>
      <c r="AA1197" t="str">
        <f>"14701-7096"</f>
        <v>14701-7096</v>
      </c>
      <c r="AB1197" t="s">
        <v>74</v>
      </c>
      <c r="AC1197" t="s">
        <v>75</v>
      </c>
      <c r="AD1197" t="s">
        <v>72</v>
      </c>
      <c r="AE1197" t="s">
        <v>76</v>
      </c>
      <c r="AF1197" t="s">
        <v>7966</v>
      </c>
      <c r="AG1197" t="s">
        <v>77</v>
      </c>
    </row>
    <row r="1198" spans="1:33" x14ac:dyDescent="0.25">
      <c r="A1198" t="str">
        <f>"1447309125"</f>
        <v>1447309125</v>
      </c>
      <c r="B1198" t="str">
        <f>"01246304"</f>
        <v>01246304</v>
      </c>
      <c r="C1198" t="s">
        <v>7970</v>
      </c>
      <c r="D1198" t="s">
        <v>7971</v>
      </c>
      <c r="E1198" t="s">
        <v>7972</v>
      </c>
      <c r="L1198" t="s">
        <v>79</v>
      </c>
      <c r="M1198" t="s">
        <v>72</v>
      </c>
      <c r="R1198" t="s">
        <v>7970</v>
      </c>
      <c r="W1198" t="s">
        <v>7972</v>
      </c>
      <c r="X1198" t="s">
        <v>7973</v>
      </c>
      <c r="Y1198" t="s">
        <v>206</v>
      </c>
      <c r="Z1198" t="s">
        <v>73</v>
      </c>
      <c r="AA1198" t="str">
        <f>"14048-2599"</f>
        <v>14048-2599</v>
      </c>
      <c r="AB1198" t="s">
        <v>74</v>
      </c>
      <c r="AC1198" t="s">
        <v>75</v>
      </c>
      <c r="AD1198" t="s">
        <v>72</v>
      </c>
      <c r="AE1198" t="s">
        <v>76</v>
      </c>
      <c r="AF1198" t="s">
        <v>7966</v>
      </c>
      <c r="AG1198" t="s">
        <v>77</v>
      </c>
    </row>
    <row r="1199" spans="1:33" x14ac:dyDescent="0.25">
      <c r="A1199" t="str">
        <f>"1710211487"</f>
        <v>1710211487</v>
      </c>
      <c r="B1199" t="str">
        <f>"03207870"</f>
        <v>03207870</v>
      </c>
      <c r="C1199" t="s">
        <v>7974</v>
      </c>
      <c r="D1199" t="s">
        <v>7975</v>
      </c>
      <c r="E1199" t="s">
        <v>7976</v>
      </c>
      <c r="L1199" t="s">
        <v>80</v>
      </c>
      <c r="M1199" t="s">
        <v>81</v>
      </c>
      <c r="R1199" t="s">
        <v>7974</v>
      </c>
      <c r="W1199" t="s">
        <v>7976</v>
      </c>
      <c r="X1199" t="s">
        <v>7977</v>
      </c>
      <c r="Y1199" t="s">
        <v>242</v>
      </c>
      <c r="Z1199" t="s">
        <v>73</v>
      </c>
      <c r="AA1199" t="str">
        <f>"14701-6820"</f>
        <v>14701-6820</v>
      </c>
      <c r="AB1199" t="s">
        <v>74</v>
      </c>
      <c r="AC1199" t="s">
        <v>75</v>
      </c>
      <c r="AD1199" t="s">
        <v>72</v>
      </c>
      <c r="AE1199" t="s">
        <v>76</v>
      </c>
      <c r="AF1199" t="s">
        <v>7887</v>
      </c>
      <c r="AG1199" t="s">
        <v>77</v>
      </c>
    </row>
    <row r="1200" spans="1:33" x14ac:dyDescent="0.25">
      <c r="A1200" t="str">
        <f>"1841287927"</f>
        <v>1841287927</v>
      </c>
      <c r="B1200" t="str">
        <f>"01658635"</f>
        <v>01658635</v>
      </c>
      <c r="C1200" t="s">
        <v>7978</v>
      </c>
      <c r="D1200" t="s">
        <v>7979</v>
      </c>
      <c r="E1200" t="s">
        <v>7980</v>
      </c>
      <c r="L1200" t="s">
        <v>79</v>
      </c>
      <c r="M1200" t="s">
        <v>72</v>
      </c>
      <c r="R1200" t="s">
        <v>7978</v>
      </c>
      <c r="W1200" t="s">
        <v>7980</v>
      </c>
      <c r="X1200" t="s">
        <v>286</v>
      </c>
      <c r="Y1200" t="s">
        <v>242</v>
      </c>
      <c r="Z1200" t="s">
        <v>73</v>
      </c>
      <c r="AA1200" t="str">
        <f>"14701-7077"</f>
        <v>14701-7077</v>
      </c>
      <c r="AB1200" t="s">
        <v>74</v>
      </c>
      <c r="AC1200" t="s">
        <v>75</v>
      </c>
      <c r="AD1200" t="s">
        <v>72</v>
      </c>
      <c r="AE1200" t="s">
        <v>76</v>
      </c>
      <c r="AF1200" t="s">
        <v>7966</v>
      </c>
      <c r="AG1200" t="s">
        <v>77</v>
      </c>
    </row>
    <row r="1201" spans="1:33" x14ac:dyDescent="0.25">
      <c r="A1201" t="str">
        <f>"1710099411"</f>
        <v>1710099411</v>
      </c>
      <c r="B1201" t="str">
        <f>"02563660"</f>
        <v>02563660</v>
      </c>
      <c r="C1201" t="s">
        <v>7981</v>
      </c>
      <c r="D1201" t="s">
        <v>7982</v>
      </c>
      <c r="E1201" t="s">
        <v>7983</v>
      </c>
      <c r="L1201" t="s">
        <v>79</v>
      </c>
      <c r="M1201" t="s">
        <v>81</v>
      </c>
      <c r="R1201" t="s">
        <v>7984</v>
      </c>
      <c r="W1201" t="s">
        <v>7985</v>
      </c>
      <c r="X1201" t="s">
        <v>3325</v>
      </c>
      <c r="Y1201" t="s">
        <v>242</v>
      </c>
      <c r="Z1201" t="s">
        <v>73</v>
      </c>
      <c r="AA1201" t="str">
        <f>"14701-6627"</f>
        <v>14701-6627</v>
      </c>
      <c r="AB1201" t="s">
        <v>74</v>
      </c>
      <c r="AC1201" t="s">
        <v>75</v>
      </c>
      <c r="AD1201" t="s">
        <v>72</v>
      </c>
      <c r="AE1201" t="s">
        <v>76</v>
      </c>
      <c r="AF1201" t="s">
        <v>7966</v>
      </c>
      <c r="AG1201" t="s">
        <v>77</v>
      </c>
    </row>
    <row r="1202" spans="1:33" x14ac:dyDescent="0.25">
      <c r="A1202" t="str">
        <f>"1467487413"</f>
        <v>1467487413</v>
      </c>
      <c r="B1202" t="str">
        <f>"01914814"</f>
        <v>01914814</v>
      </c>
      <c r="C1202" t="s">
        <v>7986</v>
      </c>
      <c r="D1202" t="s">
        <v>7987</v>
      </c>
      <c r="E1202" t="s">
        <v>7988</v>
      </c>
      <c r="H1202" t="s">
        <v>4798</v>
      </c>
      <c r="L1202" t="s">
        <v>79</v>
      </c>
      <c r="M1202" t="s">
        <v>81</v>
      </c>
      <c r="R1202" t="s">
        <v>7988</v>
      </c>
      <c r="W1202" t="s">
        <v>7988</v>
      </c>
      <c r="X1202" t="s">
        <v>7989</v>
      </c>
      <c r="Y1202" t="s">
        <v>242</v>
      </c>
      <c r="Z1202" t="s">
        <v>73</v>
      </c>
      <c r="AA1202" t="str">
        <f>"14701-7080"</f>
        <v>14701-7080</v>
      </c>
      <c r="AB1202" t="s">
        <v>74</v>
      </c>
      <c r="AC1202" t="s">
        <v>75</v>
      </c>
      <c r="AD1202" t="s">
        <v>72</v>
      </c>
      <c r="AE1202" t="s">
        <v>76</v>
      </c>
      <c r="AF1202" t="s">
        <v>7966</v>
      </c>
      <c r="AG1202" t="s">
        <v>77</v>
      </c>
    </row>
    <row r="1203" spans="1:33" x14ac:dyDescent="0.25">
      <c r="A1203" t="str">
        <f>"1831344142"</f>
        <v>1831344142</v>
      </c>
      <c r="B1203" t="str">
        <f>"03072759"</f>
        <v>03072759</v>
      </c>
      <c r="C1203" t="s">
        <v>7990</v>
      </c>
      <c r="D1203" t="s">
        <v>7991</v>
      </c>
      <c r="E1203" t="s">
        <v>7992</v>
      </c>
      <c r="G1203" t="s">
        <v>3969</v>
      </c>
      <c r="H1203" t="s">
        <v>3970</v>
      </c>
      <c r="J1203" t="s">
        <v>3971</v>
      </c>
      <c r="L1203" t="s">
        <v>79</v>
      </c>
      <c r="M1203" t="s">
        <v>72</v>
      </c>
      <c r="R1203" t="s">
        <v>7993</v>
      </c>
      <c r="W1203" t="s">
        <v>7992</v>
      </c>
      <c r="X1203" t="s">
        <v>234</v>
      </c>
      <c r="Y1203" t="s">
        <v>117</v>
      </c>
      <c r="Z1203" t="s">
        <v>73</v>
      </c>
      <c r="AA1203" t="str">
        <f>"14220-2039"</f>
        <v>14220-2039</v>
      </c>
      <c r="AB1203" t="s">
        <v>74</v>
      </c>
      <c r="AC1203" t="s">
        <v>75</v>
      </c>
      <c r="AD1203" t="s">
        <v>72</v>
      </c>
      <c r="AE1203" t="s">
        <v>76</v>
      </c>
      <c r="AF1203" t="s">
        <v>3974</v>
      </c>
      <c r="AG1203" t="s">
        <v>77</v>
      </c>
    </row>
    <row r="1204" spans="1:33" x14ac:dyDescent="0.25">
      <c r="A1204" t="str">
        <f>"1477833309"</f>
        <v>1477833309</v>
      </c>
      <c r="B1204" t="str">
        <f>"00337673"</f>
        <v>00337673</v>
      </c>
      <c r="C1204" t="s">
        <v>7994</v>
      </c>
      <c r="D1204" t="s">
        <v>7995</v>
      </c>
      <c r="E1204" t="s">
        <v>7996</v>
      </c>
      <c r="G1204" t="s">
        <v>7997</v>
      </c>
      <c r="H1204" t="s">
        <v>3879</v>
      </c>
      <c r="J1204" t="s">
        <v>7998</v>
      </c>
      <c r="L1204" t="s">
        <v>15</v>
      </c>
      <c r="M1204" t="s">
        <v>81</v>
      </c>
      <c r="R1204" t="s">
        <v>7999</v>
      </c>
      <c r="W1204" t="s">
        <v>7996</v>
      </c>
      <c r="X1204" t="s">
        <v>2671</v>
      </c>
      <c r="Y1204" t="s">
        <v>117</v>
      </c>
      <c r="Z1204" t="s">
        <v>73</v>
      </c>
      <c r="AA1204" t="str">
        <f>"14201-2161"</f>
        <v>14201-2161</v>
      </c>
      <c r="AB1204" t="s">
        <v>98</v>
      </c>
      <c r="AC1204" t="s">
        <v>75</v>
      </c>
      <c r="AD1204" t="s">
        <v>72</v>
      </c>
      <c r="AE1204" t="s">
        <v>76</v>
      </c>
      <c r="AF1204" t="s">
        <v>4078</v>
      </c>
      <c r="AG1204" t="s">
        <v>77</v>
      </c>
    </row>
    <row r="1205" spans="1:33" x14ac:dyDescent="0.25">
      <c r="A1205" t="str">
        <f>"1659359149"</f>
        <v>1659359149</v>
      </c>
      <c r="B1205" t="str">
        <f>"01772045"</f>
        <v>01772045</v>
      </c>
      <c r="C1205" t="s">
        <v>8000</v>
      </c>
      <c r="D1205" t="s">
        <v>8001</v>
      </c>
      <c r="E1205" t="s">
        <v>8002</v>
      </c>
      <c r="G1205" t="s">
        <v>4841</v>
      </c>
      <c r="H1205" t="s">
        <v>1534</v>
      </c>
      <c r="J1205" t="s">
        <v>4842</v>
      </c>
      <c r="L1205" t="s">
        <v>80</v>
      </c>
      <c r="M1205" t="s">
        <v>72</v>
      </c>
      <c r="R1205" t="s">
        <v>8003</v>
      </c>
      <c r="W1205" t="s">
        <v>8002</v>
      </c>
      <c r="X1205" t="s">
        <v>243</v>
      </c>
      <c r="Y1205" t="s">
        <v>117</v>
      </c>
      <c r="Z1205" t="s">
        <v>73</v>
      </c>
      <c r="AA1205" t="str">
        <f>"14203-1126"</f>
        <v>14203-1126</v>
      </c>
      <c r="AB1205" t="s">
        <v>74</v>
      </c>
      <c r="AC1205" t="s">
        <v>75</v>
      </c>
      <c r="AD1205" t="s">
        <v>72</v>
      </c>
      <c r="AE1205" t="s">
        <v>76</v>
      </c>
      <c r="AF1205" t="s">
        <v>3961</v>
      </c>
      <c r="AG1205" t="s">
        <v>77</v>
      </c>
    </row>
    <row r="1206" spans="1:33" ht="60" x14ac:dyDescent="0.25">
      <c r="C1206" t="s">
        <v>8004</v>
      </c>
      <c r="G1206" t="s">
        <v>8005</v>
      </c>
      <c r="H1206" t="s">
        <v>8006</v>
      </c>
      <c r="J1206" t="s">
        <v>8007</v>
      </c>
      <c r="K1206" t="s">
        <v>89</v>
      </c>
      <c r="L1206" t="s">
        <v>90</v>
      </c>
      <c r="M1206" t="s">
        <v>72</v>
      </c>
      <c r="N1206" s="13" t="s">
        <v>8008</v>
      </c>
      <c r="O1206" t="s">
        <v>1101</v>
      </c>
      <c r="P1206" t="s">
        <v>73</v>
      </c>
      <c r="Q1206" t="str">
        <f>"14225"</f>
        <v>14225</v>
      </c>
      <c r="AC1206" t="s">
        <v>75</v>
      </c>
      <c r="AD1206" t="s">
        <v>72</v>
      </c>
      <c r="AE1206" t="s">
        <v>91</v>
      </c>
      <c r="AF1206" t="s">
        <v>4059</v>
      </c>
      <c r="AG1206" t="s">
        <v>77</v>
      </c>
    </row>
    <row r="1207" spans="1:33" x14ac:dyDescent="0.25">
      <c r="A1207" t="str">
        <f>"1942236427"</f>
        <v>1942236427</v>
      </c>
      <c r="B1207" t="str">
        <f>"00354614"</f>
        <v>00354614</v>
      </c>
      <c r="C1207" t="s">
        <v>8009</v>
      </c>
      <c r="D1207" t="s">
        <v>8010</v>
      </c>
      <c r="E1207" t="s">
        <v>8011</v>
      </c>
      <c r="G1207" t="s">
        <v>8012</v>
      </c>
      <c r="H1207" t="s">
        <v>8013</v>
      </c>
      <c r="J1207" t="s">
        <v>8014</v>
      </c>
      <c r="L1207" t="s">
        <v>124</v>
      </c>
      <c r="M1207" t="s">
        <v>72</v>
      </c>
      <c r="R1207" t="s">
        <v>8015</v>
      </c>
      <c r="W1207" t="s">
        <v>8011</v>
      </c>
      <c r="X1207" t="s">
        <v>379</v>
      </c>
      <c r="Y1207" t="s">
        <v>354</v>
      </c>
      <c r="Z1207" t="s">
        <v>73</v>
      </c>
      <c r="AA1207" t="str">
        <f>"14787-1104"</f>
        <v>14787-1104</v>
      </c>
      <c r="AB1207" t="s">
        <v>86</v>
      </c>
      <c r="AC1207" t="s">
        <v>75</v>
      </c>
      <c r="AD1207" t="s">
        <v>72</v>
      </c>
      <c r="AE1207" t="s">
        <v>76</v>
      </c>
      <c r="AF1207" t="s">
        <v>3986</v>
      </c>
      <c r="AG1207" t="s">
        <v>77</v>
      </c>
    </row>
    <row r="1208" spans="1:33" x14ac:dyDescent="0.25">
      <c r="A1208" t="str">
        <f>"1982695839"</f>
        <v>1982695839</v>
      </c>
      <c r="B1208" t="str">
        <f>"03163022"</f>
        <v>03163022</v>
      </c>
      <c r="C1208" t="s">
        <v>8016</v>
      </c>
      <c r="D1208" t="s">
        <v>8017</v>
      </c>
      <c r="E1208" t="s">
        <v>8018</v>
      </c>
      <c r="G1208" t="s">
        <v>4797</v>
      </c>
      <c r="H1208" t="s">
        <v>4798</v>
      </c>
      <c r="I1208">
        <v>104</v>
      </c>
      <c r="J1208" t="s">
        <v>4799</v>
      </c>
      <c r="L1208" t="s">
        <v>79</v>
      </c>
      <c r="M1208" t="s">
        <v>72</v>
      </c>
      <c r="R1208" t="s">
        <v>8019</v>
      </c>
      <c r="W1208" t="s">
        <v>8018</v>
      </c>
      <c r="X1208" t="s">
        <v>6217</v>
      </c>
      <c r="Y1208" t="s">
        <v>408</v>
      </c>
      <c r="Z1208" t="s">
        <v>73</v>
      </c>
      <c r="AA1208" t="str">
        <f>"14757-1017"</f>
        <v>14757-1017</v>
      </c>
      <c r="AB1208" t="s">
        <v>74</v>
      </c>
      <c r="AC1208" t="s">
        <v>75</v>
      </c>
      <c r="AD1208" t="s">
        <v>72</v>
      </c>
      <c r="AE1208" t="s">
        <v>76</v>
      </c>
      <c r="AF1208" t="s">
        <v>4049</v>
      </c>
      <c r="AG1208" t="s">
        <v>77</v>
      </c>
    </row>
    <row r="1209" spans="1:33" x14ac:dyDescent="0.25">
      <c r="A1209" t="str">
        <f>"1528093614"</f>
        <v>1528093614</v>
      </c>
      <c r="B1209" t="str">
        <f>"00742645"</f>
        <v>00742645</v>
      </c>
      <c r="C1209" t="s">
        <v>8020</v>
      </c>
      <c r="D1209" t="s">
        <v>1452</v>
      </c>
      <c r="E1209" t="s">
        <v>1453</v>
      </c>
      <c r="G1209" t="s">
        <v>4066</v>
      </c>
      <c r="H1209" t="s">
        <v>5311</v>
      </c>
      <c r="J1209" t="s">
        <v>5312</v>
      </c>
      <c r="L1209" t="s">
        <v>71</v>
      </c>
      <c r="M1209" t="s">
        <v>72</v>
      </c>
      <c r="R1209" t="s">
        <v>1454</v>
      </c>
      <c r="W1209" t="s">
        <v>1453</v>
      </c>
      <c r="X1209" t="s">
        <v>1455</v>
      </c>
      <c r="Y1209" t="s">
        <v>392</v>
      </c>
      <c r="Z1209" t="s">
        <v>73</v>
      </c>
      <c r="AA1209" t="str">
        <f>"14120-6104"</f>
        <v>14120-6104</v>
      </c>
      <c r="AB1209" t="s">
        <v>74</v>
      </c>
      <c r="AC1209" t="s">
        <v>75</v>
      </c>
      <c r="AD1209" t="s">
        <v>72</v>
      </c>
      <c r="AE1209" t="s">
        <v>76</v>
      </c>
      <c r="AF1209" t="s">
        <v>3974</v>
      </c>
      <c r="AG1209" t="s">
        <v>77</v>
      </c>
    </row>
    <row r="1210" spans="1:33" x14ac:dyDescent="0.25">
      <c r="A1210" t="str">
        <f>"1396797064"</f>
        <v>1396797064</v>
      </c>
      <c r="B1210" t="str">
        <f>"02678926"</f>
        <v>02678926</v>
      </c>
      <c r="C1210" t="s">
        <v>8021</v>
      </c>
      <c r="D1210" t="s">
        <v>8022</v>
      </c>
      <c r="E1210" t="s">
        <v>8023</v>
      </c>
      <c r="G1210" t="s">
        <v>3969</v>
      </c>
      <c r="H1210" t="s">
        <v>3970</v>
      </c>
      <c r="J1210" t="s">
        <v>3971</v>
      </c>
      <c r="L1210" t="s">
        <v>79</v>
      </c>
      <c r="M1210" t="s">
        <v>72</v>
      </c>
      <c r="R1210" t="s">
        <v>8024</v>
      </c>
      <c r="W1210" t="s">
        <v>8023</v>
      </c>
      <c r="X1210" t="s">
        <v>234</v>
      </c>
      <c r="Y1210" t="s">
        <v>117</v>
      </c>
      <c r="Z1210" t="s">
        <v>73</v>
      </c>
      <c r="AA1210" t="str">
        <f>"14220-2039"</f>
        <v>14220-2039</v>
      </c>
      <c r="AB1210" t="s">
        <v>74</v>
      </c>
      <c r="AC1210" t="s">
        <v>75</v>
      </c>
      <c r="AD1210" t="s">
        <v>72</v>
      </c>
      <c r="AE1210" t="s">
        <v>76</v>
      </c>
      <c r="AF1210" t="s">
        <v>3974</v>
      </c>
      <c r="AG1210" t="s">
        <v>77</v>
      </c>
    </row>
    <row r="1211" spans="1:33" x14ac:dyDescent="0.25">
      <c r="A1211" t="str">
        <f>"1346275286"</f>
        <v>1346275286</v>
      </c>
      <c r="B1211" t="str">
        <f>"01294522"</f>
        <v>01294522</v>
      </c>
      <c r="C1211" t="s">
        <v>8025</v>
      </c>
      <c r="D1211" t="s">
        <v>1831</v>
      </c>
      <c r="E1211" t="s">
        <v>1832</v>
      </c>
      <c r="G1211" t="s">
        <v>8026</v>
      </c>
      <c r="H1211" t="s">
        <v>1833</v>
      </c>
      <c r="J1211" t="s">
        <v>8027</v>
      </c>
      <c r="L1211" t="s">
        <v>71</v>
      </c>
      <c r="M1211" t="s">
        <v>72</v>
      </c>
      <c r="R1211" t="s">
        <v>1834</v>
      </c>
      <c r="W1211" t="s">
        <v>1832</v>
      </c>
      <c r="X1211" t="s">
        <v>1835</v>
      </c>
      <c r="Y1211" t="s">
        <v>117</v>
      </c>
      <c r="Z1211" t="s">
        <v>73</v>
      </c>
      <c r="AA1211" t="str">
        <f>"14215-3021"</f>
        <v>14215-3021</v>
      </c>
      <c r="AB1211" t="s">
        <v>74</v>
      </c>
      <c r="AC1211" t="s">
        <v>75</v>
      </c>
      <c r="AD1211" t="s">
        <v>72</v>
      </c>
      <c r="AE1211" t="s">
        <v>76</v>
      </c>
      <c r="AF1211" t="s">
        <v>3974</v>
      </c>
      <c r="AG1211" t="s">
        <v>77</v>
      </c>
    </row>
    <row r="1212" spans="1:33" x14ac:dyDescent="0.25">
      <c r="A1212" t="str">
        <f>"1487655908"</f>
        <v>1487655908</v>
      </c>
      <c r="B1212" t="str">
        <f>"01246611"</f>
        <v>01246611</v>
      </c>
      <c r="C1212" t="s">
        <v>8028</v>
      </c>
      <c r="D1212" t="s">
        <v>2060</v>
      </c>
      <c r="E1212" t="s">
        <v>2061</v>
      </c>
      <c r="G1212" t="s">
        <v>4647</v>
      </c>
      <c r="H1212" t="s">
        <v>2062</v>
      </c>
      <c r="J1212" t="s">
        <v>4648</v>
      </c>
      <c r="L1212" t="s">
        <v>80</v>
      </c>
      <c r="M1212" t="s">
        <v>72</v>
      </c>
      <c r="R1212" t="s">
        <v>2063</v>
      </c>
      <c r="W1212" t="s">
        <v>2061</v>
      </c>
      <c r="X1212" t="s">
        <v>2064</v>
      </c>
      <c r="Y1212" t="s">
        <v>247</v>
      </c>
      <c r="Z1212" t="s">
        <v>73</v>
      </c>
      <c r="AA1212" t="str">
        <f>"14225-1080"</f>
        <v>14225-1080</v>
      </c>
      <c r="AB1212" t="s">
        <v>74</v>
      </c>
      <c r="AC1212" t="s">
        <v>75</v>
      </c>
      <c r="AD1212" t="s">
        <v>72</v>
      </c>
      <c r="AE1212" t="s">
        <v>76</v>
      </c>
      <c r="AF1212" t="s">
        <v>3961</v>
      </c>
      <c r="AG1212" t="s">
        <v>77</v>
      </c>
    </row>
    <row r="1213" spans="1:33" x14ac:dyDescent="0.25">
      <c r="A1213" t="str">
        <f>"1578586293"</f>
        <v>1578586293</v>
      </c>
      <c r="B1213" t="str">
        <f>"01260851"</f>
        <v>01260851</v>
      </c>
      <c r="C1213" t="s">
        <v>8029</v>
      </c>
      <c r="D1213" t="s">
        <v>1137</v>
      </c>
      <c r="E1213" t="s">
        <v>1138</v>
      </c>
      <c r="G1213" t="s">
        <v>8030</v>
      </c>
      <c r="H1213" t="s">
        <v>8031</v>
      </c>
      <c r="J1213" t="s">
        <v>8032</v>
      </c>
      <c r="L1213" t="s">
        <v>79</v>
      </c>
      <c r="M1213" t="s">
        <v>72</v>
      </c>
      <c r="R1213" t="s">
        <v>1139</v>
      </c>
      <c r="W1213" t="s">
        <v>1138</v>
      </c>
      <c r="X1213" t="s">
        <v>281</v>
      </c>
      <c r="Y1213" t="s">
        <v>117</v>
      </c>
      <c r="Z1213" t="s">
        <v>73</v>
      </c>
      <c r="AA1213" t="str">
        <f>"14215-3021"</f>
        <v>14215-3021</v>
      </c>
      <c r="AB1213" t="s">
        <v>74</v>
      </c>
      <c r="AC1213" t="s">
        <v>75</v>
      </c>
      <c r="AD1213" t="s">
        <v>72</v>
      </c>
      <c r="AE1213" t="s">
        <v>76</v>
      </c>
      <c r="AF1213" t="s">
        <v>4043</v>
      </c>
      <c r="AG1213" t="s">
        <v>77</v>
      </c>
    </row>
    <row r="1214" spans="1:33" x14ac:dyDescent="0.25">
      <c r="A1214" t="str">
        <f>"1356371272"</f>
        <v>1356371272</v>
      </c>
      <c r="B1214" t="str">
        <f>"03301562"</f>
        <v>03301562</v>
      </c>
      <c r="C1214" t="s">
        <v>8033</v>
      </c>
      <c r="D1214" t="s">
        <v>8034</v>
      </c>
      <c r="E1214" t="s">
        <v>8035</v>
      </c>
      <c r="G1214" t="s">
        <v>8036</v>
      </c>
      <c r="H1214" t="s">
        <v>8037</v>
      </c>
      <c r="J1214" t="s">
        <v>8038</v>
      </c>
      <c r="L1214" t="s">
        <v>79</v>
      </c>
      <c r="M1214" t="s">
        <v>72</v>
      </c>
      <c r="R1214" t="s">
        <v>8039</v>
      </c>
      <c r="W1214" t="s">
        <v>8035</v>
      </c>
      <c r="X1214" t="s">
        <v>246</v>
      </c>
      <c r="Y1214" t="s">
        <v>247</v>
      </c>
      <c r="Z1214" t="s">
        <v>73</v>
      </c>
      <c r="AA1214" t="str">
        <f>"14225-4018"</f>
        <v>14225-4018</v>
      </c>
      <c r="AB1214" t="s">
        <v>74</v>
      </c>
      <c r="AC1214" t="s">
        <v>75</v>
      </c>
      <c r="AD1214" t="s">
        <v>72</v>
      </c>
      <c r="AE1214" t="s">
        <v>76</v>
      </c>
      <c r="AF1214" t="s">
        <v>3974</v>
      </c>
      <c r="AG1214" t="s">
        <v>77</v>
      </c>
    </row>
    <row r="1215" spans="1:33" x14ac:dyDescent="0.25">
      <c r="A1215" t="str">
        <f>"1538127923"</f>
        <v>1538127923</v>
      </c>
      <c r="B1215" t="str">
        <f>"00891887"</f>
        <v>00891887</v>
      </c>
      <c r="C1215" t="s">
        <v>8040</v>
      </c>
      <c r="D1215" t="s">
        <v>2961</v>
      </c>
      <c r="E1215" t="s">
        <v>2962</v>
      </c>
      <c r="G1215" t="s">
        <v>5164</v>
      </c>
      <c r="H1215" t="s">
        <v>5165</v>
      </c>
      <c r="J1215" t="s">
        <v>5166</v>
      </c>
      <c r="L1215" t="s">
        <v>79</v>
      </c>
      <c r="M1215" t="s">
        <v>72</v>
      </c>
      <c r="R1215" t="s">
        <v>2963</v>
      </c>
      <c r="W1215" t="s">
        <v>2962</v>
      </c>
      <c r="X1215" t="s">
        <v>333</v>
      </c>
      <c r="Y1215" t="s">
        <v>221</v>
      </c>
      <c r="Z1215" t="s">
        <v>73</v>
      </c>
      <c r="AA1215" t="str">
        <f>"14221-5329"</f>
        <v>14221-5329</v>
      </c>
      <c r="AB1215" t="s">
        <v>74</v>
      </c>
      <c r="AC1215" t="s">
        <v>75</v>
      </c>
      <c r="AD1215" t="s">
        <v>72</v>
      </c>
      <c r="AE1215" t="s">
        <v>76</v>
      </c>
      <c r="AG1215" t="s">
        <v>77</v>
      </c>
    </row>
    <row r="1216" spans="1:33" x14ac:dyDescent="0.25">
      <c r="A1216" t="str">
        <f>"1255337705"</f>
        <v>1255337705</v>
      </c>
      <c r="B1216" t="str">
        <f>"01246620"</f>
        <v>01246620</v>
      </c>
      <c r="C1216" t="s">
        <v>8041</v>
      </c>
      <c r="D1216" t="s">
        <v>2401</v>
      </c>
      <c r="E1216" t="s">
        <v>2402</v>
      </c>
      <c r="G1216" t="s">
        <v>4806</v>
      </c>
      <c r="H1216" t="s">
        <v>954</v>
      </c>
      <c r="J1216" t="s">
        <v>4807</v>
      </c>
      <c r="L1216" t="s">
        <v>80</v>
      </c>
      <c r="M1216" t="s">
        <v>72</v>
      </c>
      <c r="R1216" t="s">
        <v>2403</v>
      </c>
      <c r="W1216" t="s">
        <v>2404</v>
      </c>
      <c r="X1216" t="s">
        <v>2405</v>
      </c>
      <c r="Y1216" t="s">
        <v>221</v>
      </c>
      <c r="Z1216" t="s">
        <v>73</v>
      </c>
      <c r="AA1216" t="str">
        <f>"14221-7470"</f>
        <v>14221-7470</v>
      </c>
      <c r="AB1216" t="s">
        <v>74</v>
      </c>
      <c r="AC1216" t="s">
        <v>75</v>
      </c>
      <c r="AD1216" t="s">
        <v>72</v>
      </c>
      <c r="AE1216" t="s">
        <v>76</v>
      </c>
      <c r="AG1216" t="s">
        <v>77</v>
      </c>
    </row>
    <row r="1217" spans="1:33" x14ac:dyDescent="0.25">
      <c r="A1217" t="str">
        <f>"1952370173"</f>
        <v>1952370173</v>
      </c>
      <c r="B1217" t="str">
        <f>"01528270"</f>
        <v>01528270</v>
      </c>
      <c r="C1217" t="s">
        <v>8042</v>
      </c>
      <c r="D1217" t="s">
        <v>8043</v>
      </c>
      <c r="E1217" t="s">
        <v>8044</v>
      </c>
      <c r="G1217" t="s">
        <v>8042</v>
      </c>
      <c r="H1217" t="s">
        <v>8045</v>
      </c>
      <c r="J1217" t="s">
        <v>8046</v>
      </c>
      <c r="L1217" t="s">
        <v>80</v>
      </c>
      <c r="M1217" t="s">
        <v>72</v>
      </c>
      <c r="R1217" t="s">
        <v>8047</v>
      </c>
      <c r="W1217" t="s">
        <v>8044</v>
      </c>
      <c r="X1217" t="s">
        <v>2233</v>
      </c>
      <c r="Y1217" t="s">
        <v>117</v>
      </c>
      <c r="Z1217" t="s">
        <v>73</v>
      </c>
      <c r="AA1217" t="str">
        <f>"14226-1855"</f>
        <v>14226-1855</v>
      </c>
      <c r="AB1217" t="s">
        <v>74</v>
      </c>
      <c r="AC1217" t="s">
        <v>75</v>
      </c>
      <c r="AD1217" t="s">
        <v>72</v>
      </c>
      <c r="AE1217" t="s">
        <v>76</v>
      </c>
      <c r="AF1217" t="s">
        <v>3961</v>
      </c>
      <c r="AG1217" t="s">
        <v>77</v>
      </c>
    </row>
    <row r="1218" spans="1:33" x14ac:dyDescent="0.25">
      <c r="A1218" t="str">
        <f>"1932179736"</f>
        <v>1932179736</v>
      </c>
      <c r="B1218" t="str">
        <f>"02386941"</f>
        <v>02386941</v>
      </c>
      <c r="C1218" t="s">
        <v>8048</v>
      </c>
      <c r="D1218" t="s">
        <v>3442</v>
      </c>
      <c r="E1218" t="s">
        <v>3443</v>
      </c>
      <c r="G1218" t="s">
        <v>8048</v>
      </c>
      <c r="H1218" t="s">
        <v>2615</v>
      </c>
      <c r="J1218" t="s">
        <v>8049</v>
      </c>
      <c r="L1218" t="s">
        <v>79</v>
      </c>
      <c r="M1218" t="s">
        <v>72</v>
      </c>
      <c r="R1218" t="s">
        <v>3444</v>
      </c>
      <c r="W1218" t="s">
        <v>3443</v>
      </c>
      <c r="X1218" t="s">
        <v>3445</v>
      </c>
      <c r="Y1218" t="s">
        <v>117</v>
      </c>
      <c r="Z1218" t="s">
        <v>73</v>
      </c>
      <c r="AA1218" t="str">
        <f>"14214"</f>
        <v>14214</v>
      </c>
      <c r="AB1218" t="s">
        <v>74</v>
      </c>
      <c r="AC1218" t="s">
        <v>75</v>
      </c>
      <c r="AD1218" t="s">
        <v>72</v>
      </c>
      <c r="AE1218" t="s">
        <v>76</v>
      </c>
      <c r="AF1218" t="s">
        <v>3974</v>
      </c>
      <c r="AG1218" t="s">
        <v>77</v>
      </c>
    </row>
    <row r="1219" spans="1:33" x14ac:dyDescent="0.25">
      <c r="A1219" t="str">
        <f>"1407822125"</f>
        <v>1407822125</v>
      </c>
      <c r="B1219" t="str">
        <f>"01842777"</f>
        <v>01842777</v>
      </c>
      <c r="C1219" t="s">
        <v>8050</v>
      </c>
      <c r="D1219" t="s">
        <v>638</v>
      </c>
      <c r="E1219" t="s">
        <v>639</v>
      </c>
      <c r="G1219" t="s">
        <v>5001</v>
      </c>
      <c r="H1219" t="s">
        <v>640</v>
      </c>
      <c r="J1219" t="s">
        <v>5002</v>
      </c>
      <c r="L1219" t="s">
        <v>80</v>
      </c>
      <c r="M1219" t="s">
        <v>72</v>
      </c>
      <c r="R1219" t="s">
        <v>641</v>
      </c>
      <c r="W1219" t="s">
        <v>639</v>
      </c>
      <c r="X1219" t="s">
        <v>642</v>
      </c>
      <c r="Y1219" t="s">
        <v>117</v>
      </c>
      <c r="Z1219" t="s">
        <v>73</v>
      </c>
      <c r="AA1219" t="str">
        <f>"14223-2819"</f>
        <v>14223-2819</v>
      </c>
      <c r="AB1219" t="s">
        <v>74</v>
      </c>
      <c r="AC1219" t="s">
        <v>75</v>
      </c>
      <c r="AD1219" t="s">
        <v>72</v>
      </c>
      <c r="AE1219" t="s">
        <v>76</v>
      </c>
      <c r="AG1219" t="s">
        <v>77</v>
      </c>
    </row>
    <row r="1220" spans="1:33" x14ac:dyDescent="0.25">
      <c r="A1220" t="str">
        <f>"1942282207"</f>
        <v>1942282207</v>
      </c>
      <c r="B1220" t="str">
        <f>"01086268"</f>
        <v>01086268</v>
      </c>
      <c r="C1220" t="s">
        <v>8051</v>
      </c>
      <c r="D1220" t="s">
        <v>8052</v>
      </c>
      <c r="E1220" t="s">
        <v>8053</v>
      </c>
      <c r="G1220" t="s">
        <v>8051</v>
      </c>
      <c r="H1220" t="s">
        <v>4732</v>
      </c>
      <c r="L1220" t="s">
        <v>79</v>
      </c>
      <c r="M1220" t="s">
        <v>72</v>
      </c>
      <c r="R1220" t="s">
        <v>8054</v>
      </c>
      <c r="W1220" t="s">
        <v>8053</v>
      </c>
      <c r="X1220" t="s">
        <v>734</v>
      </c>
      <c r="Y1220" t="s">
        <v>117</v>
      </c>
      <c r="Z1220" t="s">
        <v>73</v>
      </c>
      <c r="AA1220" t="str">
        <f>"14203-1154"</f>
        <v>14203-1154</v>
      </c>
      <c r="AB1220" t="s">
        <v>74</v>
      </c>
      <c r="AC1220" t="s">
        <v>75</v>
      </c>
      <c r="AD1220" t="s">
        <v>72</v>
      </c>
      <c r="AE1220" t="s">
        <v>76</v>
      </c>
      <c r="AF1220" t="s">
        <v>3974</v>
      </c>
      <c r="AG1220" t="s">
        <v>77</v>
      </c>
    </row>
    <row r="1221" spans="1:33" x14ac:dyDescent="0.25">
      <c r="A1221" t="str">
        <f>"1942200209"</f>
        <v>1942200209</v>
      </c>
      <c r="B1221" t="str">
        <f>"00715375"</f>
        <v>00715375</v>
      </c>
      <c r="C1221" t="s">
        <v>8055</v>
      </c>
      <c r="D1221" t="s">
        <v>1402</v>
      </c>
      <c r="E1221" t="s">
        <v>1403</v>
      </c>
      <c r="G1221" t="s">
        <v>8055</v>
      </c>
      <c r="H1221" t="s">
        <v>915</v>
      </c>
      <c r="J1221" t="s">
        <v>8056</v>
      </c>
      <c r="L1221" t="s">
        <v>80</v>
      </c>
      <c r="M1221" t="s">
        <v>72</v>
      </c>
      <c r="R1221" t="s">
        <v>1404</v>
      </c>
      <c r="W1221" t="s">
        <v>1403</v>
      </c>
      <c r="X1221" t="s">
        <v>1405</v>
      </c>
      <c r="Y1221" t="s">
        <v>221</v>
      </c>
      <c r="Z1221" t="s">
        <v>73</v>
      </c>
      <c r="AA1221" t="str">
        <f>"14221-5321"</f>
        <v>14221-5321</v>
      </c>
      <c r="AB1221" t="s">
        <v>74</v>
      </c>
      <c r="AC1221" t="s">
        <v>75</v>
      </c>
      <c r="AD1221" t="s">
        <v>72</v>
      </c>
      <c r="AE1221" t="s">
        <v>76</v>
      </c>
      <c r="AF1221" t="s">
        <v>4431</v>
      </c>
      <c r="AG1221" t="s">
        <v>77</v>
      </c>
    </row>
    <row r="1222" spans="1:33" x14ac:dyDescent="0.25">
      <c r="A1222" t="str">
        <f>"1376504605"</f>
        <v>1376504605</v>
      </c>
      <c r="B1222" t="str">
        <f>"01149191"</f>
        <v>01149191</v>
      </c>
      <c r="C1222" t="s">
        <v>8057</v>
      </c>
      <c r="D1222" t="s">
        <v>8058</v>
      </c>
      <c r="E1222" t="s">
        <v>8059</v>
      </c>
      <c r="G1222" t="s">
        <v>8060</v>
      </c>
      <c r="H1222" t="s">
        <v>8061</v>
      </c>
      <c r="J1222" t="s">
        <v>8062</v>
      </c>
      <c r="L1222" t="s">
        <v>79</v>
      </c>
      <c r="M1222" t="s">
        <v>72</v>
      </c>
      <c r="R1222" t="s">
        <v>8063</v>
      </c>
      <c r="W1222" t="s">
        <v>8059</v>
      </c>
      <c r="X1222" t="s">
        <v>391</v>
      </c>
      <c r="Y1222" t="s">
        <v>392</v>
      </c>
      <c r="Z1222" t="s">
        <v>73</v>
      </c>
      <c r="AA1222" t="str">
        <f>"14120-6150"</f>
        <v>14120-6150</v>
      </c>
      <c r="AB1222" t="s">
        <v>74</v>
      </c>
      <c r="AC1222" t="s">
        <v>75</v>
      </c>
      <c r="AD1222" t="s">
        <v>72</v>
      </c>
      <c r="AE1222" t="s">
        <v>76</v>
      </c>
      <c r="AF1222" t="s">
        <v>3974</v>
      </c>
      <c r="AG1222" t="s">
        <v>77</v>
      </c>
    </row>
    <row r="1223" spans="1:33" x14ac:dyDescent="0.25">
      <c r="A1223" t="str">
        <f>"1780600718"</f>
        <v>1780600718</v>
      </c>
      <c r="B1223" t="str">
        <f>"01651876"</f>
        <v>01651876</v>
      </c>
      <c r="C1223" t="s">
        <v>8064</v>
      </c>
      <c r="D1223" t="s">
        <v>683</v>
      </c>
      <c r="E1223" t="s">
        <v>684</v>
      </c>
      <c r="G1223" t="s">
        <v>6512</v>
      </c>
      <c r="H1223" t="s">
        <v>8065</v>
      </c>
      <c r="J1223" t="s">
        <v>6514</v>
      </c>
      <c r="L1223" t="s">
        <v>79</v>
      </c>
      <c r="M1223" t="s">
        <v>72</v>
      </c>
      <c r="R1223" t="s">
        <v>685</v>
      </c>
      <c r="W1223" t="s">
        <v>684</v>
      </c>
      <c r="X1223" t="s">
        <v>686</v>
      </c>
      <c r="Y1223" t="s">
        <v>117</v>
      </c>
      <c r="Z1223" t="s">
        <v>73</v>
      </c>
      <c r="AA1223" t="str">
        <f>"14209-1120"</f>
        <v>14209-1120</v>
      </c>
      <c r="AB1223" t="s">
        <v>74</v>
      </c>
      <c r="AC1223" t="s">
        <v>75</v>
      </c>
      <c r="AD1223" t="s">
        <v>72</v>
      </c>
      <c r="AE1223" t="s">
        <v>76</v>
      </c>
      <c r="AF1223" t="s">
        <v>3974</v>
      </c>
      <c r="AG1223" t="s">
        <v>77</v>
      </c>
    </row>
    <row r="1224" spans="1:33" x14ac:dyDescent="0.25">
      <c r="C1224" t="s">
        <v>8066</v>
      </c>
      <c r="G1224" t="s">
        <v>8067</v>
      </c>
      <c r="H1224" t="s">
        <v>8068</v>
      </c>
      <c r="J1224" t="s">
        <v>8069</v>
      </c>
      <c r="K1224" t="s">
        <v>89</v>
      </c>
      <c r="L1224" t="s">
        <v>90</v>
      </c>
      <c r="M1224" t="s">
        <v>72</v>
      </c>
      <c r="N1224" t="s">
        <v>73</v>
      </c>
      <c r="O1224">
        <v>14206</v>
      </c>
      <c r="AC1224" t="s">
        <v>75</v>
      </c>
      <c r="AD1224" t="s">
        <v>72</v>
      </c>
      <c r="AE1224" t="s">
        <v>91</v>
      </c>
      <c r="AF1224" t="s">
        <v>4059</v>
      </c>
      <c r="AG1224" t="s">
        <v>77</v>
      </c>
    </row>
    <row r="1225" spans="1:33" x14ac:dyDescent="0.25">
      <c r="A1225" t="str">
        <f>"1932139300"</f>
        <v>1932139300</v>
      </c>
      <c r="B1225" t="str">
        <f>"00688211"</f>
        <v>00688211</v>
      </c>
      <c r="C1225" t="s">
        <v>545</v>
      </c>
      <c r="D1225" t="s">
        <v>3433</v>
      </c>
      <c r="E1225" t="s">
        <v>3434</v>
      </c>
      <c r="G1225" t="s">
        <v>8070</v>
      </c>
      <c r="H1225" t="s">
        <v>895</v>
      </c>
      <c r="J1225" t="s">
        <v>3702</v>
      </c>
      <c r="L1225" t="s">
        <v>10</v>
      </c>
      <c r="M1225" t="s">
        <v>81</v>
      </c>
      <c r="R1225" t="s">
        <v>3432</v>
      </c>
      <c r="W1225" t="s">
        <v>3434</v>
      </c>
      <c r="X1225" t="s">
        <v>896</v>
      </c>
      <c r="Y1225" t="s">
        <v>117</v>
      </c>
      <c r="Z1225" t="s">
        <v>73</v>
      </c>
      <c r="AA1225" t="str">
        <f>"14209-2013"</f>
        <v>14209-2013</v>
      </c>
      <c r="AB1225" t="s">
        <v>109</v>
      </c>
      <c r="AC1225" t="s">
        <v>75</v>
      </c>
      <c r="AD1225" t="s">
        <v>72</v>
      </c>
      <c r="AE1225" t="s">
        <v>76</v>
      </c>
      <c r="AF1225" t="s">
        <v>4059</v>
      </c>
      <c r="AG1225" t="s">
        <v>77</v>
      </c>
    </row>
    <row r="1226" spans="1:33" x14ac:dyDescent="0.25">
      <c r="B1226" t="str">
        <f>"02591871"</f>
        <v>02591871</v>
      </c>
      <c r="C1226" t="s">
        <v>8071</v>
      </c>
      <c r="D1226" t="s">
        <v>8072</v>
      </c>
      <c r="E1226" t="s">
        <v>8073</v>
      </c>
      <c r="F1226">
        <v>161118058</v>
      </c>
      <c r="G1226" t="s">
        <v>8074</v>
      </c>
      <c r="H1226" t="s">
        <v>8075</v>
      </c>
      <c r="J1226" t="s">
        <v>8076</v>
      </c>
      <c r="L1226" t="s">
        <v>35</v>
      </c>
      <c r="M1226" t="s">
        <v>81</v>
      </c>
      <c r="W1226" t="s">
        <v>8073</v>
      </c>
      <c r="X1226" t="s">
        <v>8077</v>
      </c>
      <c r="Y1226" t="s">
        <v>436</v>
      </c>
      <c r="Z1226" t="s">
        <v>73</v>
      </c>
      <c r="AA1226" t="str">
        <f>"14217-1939"</f>
        <v>14217-1939</v>
      </c>
      <c r="AB1226" t="s">
        <v>88</v>
      </c>
      <c r="AC1226" t="s">
        <v>75</v>
      </c>
      <c r="AD1226" t="s">
        <v>72</v>
      </c>
      <c r="AE1226" t="s">
        <v>76</v>
      </c>
      <c r="AF1226" t="s">
        <v>4059</v>
      </c>
      <c r="AG1226" t="s">
        <v>77</v>
      </c>
    </row>
    <row r="1227" spans="1:33" x14ac:dyDescent="0.25">
      <c r="B1227" t="str">
        <f>"02002073"</f>
        <v>02002073</v>
      </c>
      <c r="C1227" t="s">
        <v>8071</v>
      </c>
      <c r="D1227" t="s">
        <v>8078</v>
      </c>
      <c r="E1227" t="s">
        <v>8079</v>
      </c>
      <c r="F1227">
        <v>161118058</v>
      </c>
      <c r="G1227" t="s">
        <v>8074</v>
      </c>
      <c r="H1227" t="s">
        <v>8075</v>
      </c>
      <c r="J1227" t="s">
        <v>8076</v>
      </c>
      <c r="L1227" t="s">
        <v>33</v>
      </c>
      <c r="M1227" t="s">
        <v>72</v>
      </c>
      <c r="W1227" t="s">
        <v>8080</v>
      </c>
      <c r="X1227" t="s">
        <v>8077</v>
      </c>
      <c r="Y1227" t="s">
        <v>436</v>
      </c>
      <c r="Z1227" t="s">
        <v>73</v>
      </c>
      <c r="AA1227" t="str">
        <f>"14217-1939"</f>
        <v>14217-1939</v>
      </c>
      <c r="AB1227" t="s">
        <v>88</v>
      </c>
      <c r="AC1227" t="s">
        <v>75</v>
      </c>
      <c r="AD1227" t="s">
        <v>72</v>
      </c>
      <c r="AE1227" t="s">
        <v>76</v>
      </c>
      <c r="AF1227" t="s">
        <v>4059</v>
      </c>
      <c r="AG1227" t="s">
        <v>77</v>
      </c>
    </row>
    <row r="1228" spans="1:33" x14ac:dyDescent="0.25">
      <c r="B1228" t="str">
        <f>"02247592"</f>
        <v>02247592</v>
      </c>
      <c r="C1228" t="s">
        <v>8071</v>
      </c>
      <c r="D1228" t="s">
        <v>8081</v>
      </c>
      <c r="E1228" t="s">
        <v>8082</v>
      </c>
      <c r="F1228">
        <v>161118058</v>
      </c>
      <c r="G1228" t="s">
        <v>8074</v>
      </c>
      <c r="H1228" t="s">
        <v>8075</v>
      </c>
      <c r="J1228" t="s">
        <v>8076</v>
      </c>
      <c r="L1228" t="s">
        <v>35</v>
      </c>
      <c r="M1228" t="s">
        <v>81</v>
      </c>
      <c r="W1228" t="s">
        <v>8082</v>
      </c>
      <c r="X1228" t="s">
        <v>101</v>
      </c>
      <c r="Y1228" t="s">
        <v>436</v>
      </c>
      <c r="Z1228" t="s">
        <v>73</v>
      </c>
      <c r="AA1228" t="str">
        <f>"14217-1939"</f>
        <v>14217-1939</v>
      </c>
      <c r="AB1228" t="s">
        <v>88</v>
      </c>
      <c r="AC1228" t="s">
        <v>75</v>
      </c>
      <c r="AD1228" t="s">
        <v>72</v>
      </c>
      <c r="AE1228" t="s">
        <v>76</v>
      </c>
      <c r="AF1228" t="s">
        <v>4059</v>
      </c>
      <c r="AG1228" t="s">
        <v>77</v>
      </c>
    </row>
    <row r="1229" spans="1:33" x14ac:dyDescent="0.25">
      <c r="B1229" t="str">
        <f>"02171539"</f>
        <v>02171539</v>
      </c>
      <c r="C1229" t="s">
        <v>8071</v>
      </c>
      <c r="D1229" t="s">
        <v>8083</v>
      </c>
      <c r="E1229" t="s">
        <v>8084</v>
      </c>
      <c r="F1229">
        <v>161118058</v>
      </c>
      <c r="G1229" t="s">
        <v>8074</v>
      </c>
      <c r="H1229" t="s">
        <v>8075</v>
      </c>
      <c r="J1229" t="s">
        <v>8076</v>
      </c>
      <c r="L1229" t="s">
        <v>35</v>
      </c>
      <c r="M1229" t="s">
        <v>81</v>
      </c>
      <c r="W1229" t="s">
        <v>8084</v>
      </c>
      <c r="X1229" t="s">
        <v>190</v>
      </c>
      <c r="Y1229" t="s">
        <v>436</v>
      </c>
      <c r="Z1229" t="s">
        <v>73</v>
      </c>
      <c r="AA1229" t="str">
        <f>"14217-1939"</f>
        <v>14217-1939</v>
      </c>
      <c r="AB1229" t="s">
        <v>88</v>
      </c>
      <c r="AC1229" t="s">
        <v>75</v>
      </c>
      <c r="AD1229" t="s">
        <v>72</v>
      </c>
      <c r="AE1229" t="s">
        <v>76</v>
      </c>
      <c r="AF1229" t="s">
        <v>4059</v>
      </c>
      <c r="AG1229" t="s">
        <v>77</v>
      </c>
    </row>
    <row r="1230" spans="1:33" x14ac:dyDescent="0.25">
      <c r="B1230" t="str">
        <f>"02699347"</f>
        <v>02699347</v>
      </c>
      <c r="C1230" t="s">
        <v>8071</v>
      </c>
      <c r="D1230" t="s">
        <v>8085</v>
      </c>
      <c r="E1230" t="s">
        <v>8086</v>
      </c>
      <c r="F1230">
        <v>161118058</v>
      </c>
      <c r="G1230" t="s">
        <v>8074</v>
      </c>
      <c r="H1230" t="s">
        <v>8075</v>
      </c>
      <c r="J1230" t="s">
        <v>8076</v>
      </c>
      <c r="L1230" t="s">
        <v>35</v>
      </c>
      <c r="M1230" t="s">
        <v>81</v>
      </c>
      <c r="W1230" t="s">
        <v>8086</v>
      </c>
      <c r="X1230" t="s">
        <v>103</v>
      </c>
      <c r="Y1230" t="s">
        <v>436</v>
      </c>
      <c r="Z1230" t="s">
        <v>73</v>
      </c>
      <c r="AA1230" t="str">
        <f>"14217-1939"</f>
        <v>14217-1939</v>
      </c>
      <c r="AB1230" t="s">
        <v>88</v>
      </c>
      <c r="AC1230" t="s">
        <v>75</v>
      </c>
      <c r="AD1230" t="s">
        <v>72</v>
      </c>
      <c r="AE1230" t="s">
        <v>76</v>
      </c>
      <c r="AF1230" t="s">
        <v>4059</v>
      </c>
      <c r="AG1230" t="s">
        <v>77</v>
      </c>
    </row>
    <row r="1231" spans="1:33" x14ac:dyDescent="0.25">
      <c r="A1231" t="str">
        <f>"1831202779"</f>
        <v>1831202779</v>
      </c>
      <c r="B1231" t="str">
        <f>"02752692"</f>
        <v>02752692</v>
      </c>
      <c r="C1231" t="s">
        <v>8087</v>
      </c>
      <c r="D1231" t="s">
        <v>3808</v>
      </c>
      <c r="E1231" t="s">
        <v>3809</v>
      </c>
      <c r="G1231" t="s">
        <v>8088</v>
      </c>
      <c r="H1231" t="s">
        <v>3810</v>
      </c>
      <c r="J1231" t="s">
        <v>8089</v>
      </c>
      <c r="L1231" t="s">
        <v>16</v>
      </c>
      <c r="M1231" t="s">
        <v>72</v>
      </c>
      <c r="R1231" t="s">
        <v>3807</v>
      </c>
      <c r="W1231" t="s">
        <v>3809</v>
      </c>
      <c r="X1231" t="s">
        <v>3811</v>
      </c>
      <c r="Y1231" t="s">
        <v>117</v>
      </c>
      <c r="Z1231" t="s">
        <v>73</v>
      </c>
      <c r="AA1231" t="str">
        <f>"14223"</f>
        <v>14223</v>
      </c>
      <c r="AB1231" t="s">
        <v>115</v>
      </c>
      <c r="AC1231" t="s">
        <v>75</v>
      </c>
      <c r="AD1231" t="s">
        <v>72</v>
      </c>
      <c r="AE1231" t="s">
        <v>76</v>
      </c>
      <c r="AF1231" t="s">
        <v>4078</v>
      </c>
      <c r="AG1231" t="s">
        <v>77</v>
      </c>
    </row>
    <row r="1232" spans="1:33" x14ac:dyDescent="0.25">
      <c r="B1232" t="str">
        <f>"03257063"</f>
        <v>03257063</v>
      </c>
      <c r="C1232" t="s">
        <v>8090</v>
      </c>
      <c r="D1232" t="s">
        <v>8091</v>
      </c>
      <c r="E1232" t="s">
        <v>8092</v>
      </c>
      <c r="F1232">
        <v>160975538</v>
      </c>
      <c r="G1232" t="s">
        <v>8093</v>
      </c>
      <c r="H1232" t="s">
        <v>491</v>
      </c>
      <c r="J1232" t="s">
        <v>8094</v>
      </c>
      <c r="L1232" t="s">
        <v>35</v>
      </c>
      <c r="M1232" t="s">
        <v>81</v>
      </c>
      <c r="W1232" t="s">
        <v>8092</v>
      </c>
      <c r="X1232" t="s">
        <v>861</v>
      </c>
      <c r="Y1232" t="s">
        <v>221</v>
      </c>
      <c r="Z1232" t="s">
        <v>73</v>
      </c>
      <c r="AA1232" t="str">
        <f t="shared" ref="AA1232:AA1237" si="11">"14221-3230"</f>
        <v>14221-3230</v>
      </c>
      <c r="AB1232" t="s">
        <v>88</v>
      </c>
      <c r="AC1232" t="s">
        <v>75</v>
      </c>
      <c r="AD1232" t="s">
        <v>72</v>
      </c>
      <c r="AE1232" t="s">
        <v>76</v>
      </c>
      <c r="AF1232" t="s">
        <v>4059</v>
      </c>
      <c r="AG1232" t="s">
        <v>77</v>
      </c>
    </row>
    <row r="1233" spans="2:33" x14ac:dyDescent="0.25">
      <c r="B1233" t="str">
        <f>"02746041"</f>
        <v>02746041</v>
      </c>
      <c r="C1233" t="s">
        <v>8090</v>
      </c>
      <c r="D1233" t="s">
        <v>8095</v>
      </c>
      <c r="E1233" t="s">
        <v>8096</v>
      </c>
      <c r="F1233">
        <v>160975538</v>
      </c>
      <c r="G1233" t="s">
        <v>8093</v>
      </c>
      <c r="H1233" t="s">
        <v>491</v>
      </c>
      <c r="J1233" t="s">
        <v>8094</v>
      </c>
      <c r="L1233" t="s">
        <v>35</v>
      </c>
      <c r="M1233" t="s">
        <v>81</v>
      </c>
      <c r="W1233" t="s">
        <v>8096</v>
      </c>
      <c r="X1233" t="s">
        <v>861</v>
      </c>
      <c r="Y1233" t="s">
        <v>221</v>
      </c>
      <c r="Z1233" t="s">
        <v>73</v>
      </c>
      <c r="AA1233" t="str">
        <f t="shared" si="11"/>
        <v>14221-3230</v>
      </c>
      <c r="AB1233" t="s">
        <v>88</v>
      </c>
      <c r="AC1233" t="s">
        <v>75</v>
      </c>
      <c r="AD1233" t="s">
        <v>72</v>
      </c>
      <c r="AE1233" t="s">
        <v>76</v>
      </c>
      <c r="AF1233" t="s">
        <v>4059</v>
      </c>
      <c r="AG1233" t="s">
        <v>77</v>
      </c>
    </row>
    <row r="1234" spans="2:33" x14ac:dyDescent="0.25">
      <c r="B1234" t="str">
        <f>"02739339"</f>
        <v>02739339</v>
      </c>
      <c r="C1234" t="s">
        <v>8090</v>
      </c>
      <c r="D1234" t="s">
        <v>8097</v>
      </c>
      <c r="E1234" t="s">
        <v>8098</v>
      </c>
      <c r="F1234">
        <v>160975538</v>
      </c>
      <c r="G1234" t="s">
        <v>8093</v>
      </c>
      <c r="H1234" t="s">
        <v>491</v>
      </c>
      <c r="J1234" t="s">
        <v>8094</v>
      </c>
      <c r="L1234" t="s">
        <v>35</v>
      </c>
      <c r="M1234" t="s">
        <v>81</v>
      </c>
      <c r="W1234" t="s">
        <v>8098</v>
      </c>
      <c r="X1234" t="s">
        <v>861</v>
      </c>
      <c r="Y1234" t="s">
        <v>221</v>
      </c>
      <c r="Z1234" t="s">
        <v>73</v>
      </c>
      <c r="AA1234" t="str">
        <f t="shared" si="11"/>
        <v>14221-3230</v>
      </c>
      <c r="AB1234" t="s">
        <v>88</v>
      </c>
      <c r="AC1234" t="s">
        <v>75</v>
      </c>
      <c r="AD1234" t="s">
        <v>72</v>
      </c>
      <c r="AE1234" t="s">
        <v>76</v>
      </c>
      <c r="AF1234" t="s">
        <v>4059</v>
      </c>
      <c r="AG1234" t="s">
        <v>77</v>
      </c>
    </row>
    <row r="1235" spans="2:33" x14ac:dyDescent="0.25">
      <c r="B1235" t="str">
        <f>"02939595"</f>
        <v>02939595</v>
      </c>
      <c r="C1235" t="s">
        <v>8090</v>
      </c>
      <c r="D1235" t="s">
        <v>8099</v>
      </c>
      <c r="E1235" t="s">
        <v>8100</v>
      </c>
      <c r="F1235">
        <v>160975538</v>
      </c>
      <c r="G1235" t="s">
        <v>8093</v>
      </c>
      <c r="H1235" t="s">
        <v>491</v>
      </c>
      <c r="J1235" t="s">
        <v>8094</v>
      </c>
      <c r="L1235" t="s">
        <v>35</v>
      </c>
      <c r="M1235" t="s">
        <v>81</v>
      </c>
      <c r="W1235" t="s">
        <v>8100</v>
      </c>
      <c r="X1235" t="s">
        <v>861</v>
      </c>
      <c r="Y1235" t="s">
        <v>221</v>
      </c>
      <c r="Z1235" t="s">
        <v>73</v>
      </c>
      <c r="AA1235" t="str">
        <f t="shared" si="11"/>
        <v>14221-3230</v>
      </c>
      <c r="AB1235" t="s">
        <v>88</v>
      </c>
      <c r="AC1235" t="s">
        <v>75</v>
      </c>
      <c r="AD1235" t="s">
        <v>72</v>
      </c>
      <c r="AE1235" t="s">
        <v>76</v>
      </c>
      <c r="AF1235" t="s">
        <v>4059</v>
      </c>
      <c r="AG1235" t="s">
        <v>77</v>
      </c>
    </row>
    <row r="1236" spans="2:33" x14ac:dyDescent="0.25">
      <c r="B1236" t="str">
        <f>"02909382"</f>
        <v>02909382</v>
      </c>
      <c r="C1236" t="s">
        <v>8090</v>
      </c>
      <c r="D1236" t="s">
        <v>8101</v>
      </c>
      <c r="E1236" t="s">
        <v>8102</v>
      </c>
      <c r="F1236">
        <v>160975538</v>
      </c>
      <c r="G1236" t="s">
        <v>8093</v>
      </c>
      <c r="H1236" t="s">
        <v>491</v>
      </c>
      <c r="J1236" t="s">
        <v>8094</v>
      </c>
      <c r="L1236" t="s">
        <v>35</v>
      </c>
      <c r="M1236" t="s">
        <v>81</v>
      </c>
      <c r="W1236" t="s">
        <v>8102</v>
      </c>
      <c r="X1236" t="s">
        <v>861</v>
      </c>
      <c r="Y1236" t="s">
        <v>221</v>
      </c>
      <c r="Z1236" t="s">
        <v>73</v>
      </c>
      <c r="AA1236" t="str">
        <f t="shared" si="11"/>
        <v>14221-3230</v>
      </c>
      <c r="AB1236" t="s">
        <v>88</v>
      </c>
      <c r="AC1236" t="s">
        <v>75</v>
      </c>
      <c r="AD1236" t="s">
        <v>72</v>
      </c>
      <c r="AE1236" t="s">
        <v>76</v>
      </c>
      <c r="AF1236" t="s">
        <v>4059</v>
      </c>
      <c r="AG1236" t="s">
        <v>77</v>
      </c>
    </row>
    <row r="1237" spans="2:33" x14ac:dyDescent="0.25">
      <c r="B1237" t="str">
        <f>"02939619"</f>
        <v>02939619</v>
      </c>
      <c r="C1237" t="s">
        <v>8090</v>
      </c>
      <c r="D1237" t="s">
        <v>8103</v>
      </c>
      <c r="E1237" t="s">
        <v>8104</v>
      </c>
      <c r="F1237">
        <v>160975538</v>
      </c>
      <c r="G1237" t="s">
        <v>8093</v>
      </c>
      <c r="H1237" t="s">
        <v>491</v>
      </c>
      <c r="J1237" t="s">
        <v>8094</v>
      </c>
      <c r="L1237" t="s">
        <v>35</v>
      </c>
      <c r="M1237" t="s">
        <v>81</v>
      </c>
      <c r="W1237" t="s">
        <v>8104</v>
      </c>
      <c r="X1237" t="s">
        <v>861</v>
      </c>
      <c r="Y1237" t="s">
        <v>221</v>
      </c>
      <c r="Z1237" t="s">
        <v>73</v>
      </c>
      <c r="AA1237" t="str">
        <f t="shared" si="11"/>
        <v>14221-3230</v>
      </c>
      <c r="AB1237" t="s">
        <v>88</v>
      </c>
      <c r="AC1237" t="s">
        <v>75</v>
      </c>
      <c r="AD1237" t="s">
        <v>72</v>
      </c>
      <c r="AE1237" t="s">
        <v>76</v>
      </c>
      <c r="AF1237" t="s">
        <v>4059</v>
      </c>
      <c r="AG1237" t="s">
        <v>77</v>
      </c>
    </row>
    <row r="1238" spans="2:33" x14ac:dyDescent="0.25">
      <c r="B1238" t="str">
        <f>"02704043"</f>
        <v>02704043</v>
      </c>
      <c r="C1238" t="s">
        <v>8090</v>
      </c>
      <c r="D1238" t="s">
        <v>8105</v>
      </c>
      <c r="E1238" t="s">
        <v>8106</v>
      </c>
      <c r="F1238">
        <v>112617454</v>
      </c>
      <c r="G1238" t="s">
        <v>8093</v>
      </c>
      <c r="H1238" t="s">
        <v>491</v>
      </c>
      <c r="J1238" t="s">
        <v>8094</v>
      </c>
      <c r="L1238" t="s">
        <v>35</v>
      </c>
      <c r="M1238" t="s">
        <v>81</v>
      </c>
      <c r="W1238" t="s">
        <v>8106</v>
      </c>
      <c r="X1238" t="s">
        <v>103</v>
      </c>
      <c r="Y1238" t="s">
        <v>317</v>
      </c>
      <c r="Z1238" t="s">
        <v>73</v>
      </c>
      <c r="AA1238" t="str">
        <f>"14218-3504"</f>
        <v>14218-3504</v>
      </c>
      <c r="AB1238" t="s">
        <v>88</v>
      </c>
      <c r="AC1238" t="s">
        <v>75</v>
      </c>
      <c r="AD1238" t="s">
        <v>72</v>
      </c>
      <c r="AE1238" t="s">
        <v>76</v>
      </c>
      <c r="AF1238" t="s">
        <v>4059</v>
      </c>
      <c r="AG1238" t="s">
        <v>77</v>
      </c>
    </row>
    <row r="1239" spans="2:33" x14ac:dyDescent="0.25">
      <c r="B1239" t="str">
        <f>"03539053"</f>
        <v>03539053</v>
      </c>
      <c r="C1239" t="s">
        <v>8090</v>
      </c>
      <c r="D1239" t="s">
        <v>8107</v>
      </c>
      <c r="E1239" t="s">
        <v>8108</v>
      </c>
      <c r="F1239">
        <v>160975538</v>
      </c>
      <c r="G1239" t="s">
        <v>8093</v>
      </c>
      <c r="H1239" t="s">
        <v>491</v>
      </c>
      <c r="J1239" t="s">
        <v>8094</v>
      </c>
      <c r="L1239" t="s">
        <v>35</v>
      </c>
      <c r="M1239" t="s">
        <v>81</v>
      </c>
      <c r="W1239" t="s">
        <v>8108</v>
      </c>
      <c r="X1239" t="s">
        <v>861</v>
      </c>
      <c r="Y1239" t="s">
        <v>221</v>
      </c>
      <c r="Z1239" t="s">
        <v>73</v>
      </c>
      <c r="AA1239" t="str">
        <f t="shared" ref="AA1239:AA1257" si="12">"14221-3230"</f>
        <v>14221-3230</v>
      </c>
      <c r="AB1239" t="s">
        <v>88</v>
      </c>
      <c r="AC1239" t="s">
        <v>75</v>
      </c>
      <c r="AD1239" t="s">
        <v>72</v>
      </c>
      <c r="AE1239" t="s">
        <v>76</v>
      </c>
      <c r="AF1239" t="s">
        <v>4059</v>
      </c>
      <c r="AG1239" t="s">
        <v>77</v>
      </c>
    </row>
    <row r="1240" spans="2:33" x14ac:dyDescent="0.25">
      <c r="B1240" t="str">
        <f>"02971135"</f>
        <v>02971135</v>
      </c>
      <c r="C1240" t="s">
        <v>8090</v>
      </c>
      <c r="D1240" t="s">
        <v>8109</v>
      </c>
      <c r="E1240" t="s">
        <v>8110</v>
      </c>
      <c r="F1240">
        <v>160975538</v>
      </c>
      <c r="G1240" t="s">
        <v>8093</v>
      </c>
      <c r="H1240" t="s">
        <v>491</v>
      </c>
      <c r="J1240" t="s">
        <v>8094</v>
      </c>
      <c r="L1240" t="s">
        <v>35</v>
      </c>
      <c r="M1240" t="s">
        <v>81</v>
      </c>
      <c r="W1240" t="s">
        <v>8110</v>
      </c>
      <c r="X1240" t="s">
        <v>861</v>
      </c>
      <c r="Y1240" t="s">
        <v>221</v>
      </c>
      <c r="Z1240" t="s">
        <v>73</v>
      </c>
      <c r="AA1240" t="str">
        <f t="shared" si="12"/>
        <v>14221-3230</v>
      </c>
      <c r="AB1240" t="s">
        <v>88</v>
      </c>
      <c r="AC1240" t="s">
        <v>75</v>
      </c>
      <c r="AD1240" t="s">
        <v>72</v>
      </c>
      <c r="AE1240" t="s">
        <v>76</v>
      </c>
      <c r="AF1240" t="s">
        <v>4059</v>
      </c>
      <c r="AG1240" t="s">
        <v>77</v>
      </c>
    </row>
    <row r="1241" spans="2:33" x14ac:dyDescent="0.25">
      <c r="B1241" t="str">
        <f>"02852995"</f>
        <v>02852995</v>
      </c>
      <c r="C1241" t="s">
        <v>8090</v>
      </c>
      <c r="D1241" t="s">
        <v>8111</v>
      </c>
      <c r="E1241" t="s">
        <v>8112</v>
      </c>
      <c r="F1241">
        <v>160975538</v>
      </c>
      <c r="G1241" t="s">
        <v>8093</v>
      </c>
      <c r="H1241" t="s">
        <v>491</v>
      </c>
      <c r="J1241" t="s">
        <v>8094</v>
      </c>
      <c r="L1241" t="s">
        <v>35</v>
      </c>
      <c r="M1241" t="s">
        <v>81</v>
      </c>
      <c r="W1241" t="s">
        <v>8112</v>
      </c>
      <c r="X1241" t="s">
        <v>861</v>
      </c>
      <c r="Y1241" t="s">
        <v>221</v>
      </c>
      <c r="Z1241" t="s">
        <v>73</v>
      </c>
      <c r="AA1241" t="str">
        <f t="shared" si="12"/>
        <v>14221-3230</v>
      </c>
      <c r="AB1241" t="s">
        <v>88</v>
      </c>
      <c r="AC1241" t="s">
        <v>75</v>
      </c>
      <c r="AD1241" t="s">
        <v>72</v>
      </c>
      <c r="AE1241" t="s">
        <v>76</v>
      </c>
      <c r="AF1241" t="s">
        <v>4059</v>
      </c>
      <c r="AG1241" t="s">
        <v>77</v>
      </c>
    </row>
    <row r="1242" spans="2:33" x14ac:dyDescent="0.25">
      <c r="B1242" t="str">
        <f>"02391817"</f>
        <v>02391817</v>
      </c>
      <c r="C1242" t="s">
        <v>8090</v>
      </c>
      <c r="D1242" t="s">
        <v>8113</v>
      </c>
      <c r="E1242" t="s">
        <v>8114</v>
      </c>
      <c r="F1242">
        <v>160975538</v>
      </c>
      <c r="G1242" t="s">
        <v>8093</v>
      </c>
      <c r="H1242" t="s">
        <v>491</v>
      </c>
      <c r="J1242" t="s">
        <v>8094</v>
      </c>
      <c r="L1242" t="s">
        <v>35</v>
      </c>
      <c r="M1242" t="s">
        <v>81</v>
      </c>
      <c r="W1242" t="s">
        <v>8114</v>
      </c>
      <c r="X1242" t="s">
        <v>8115</v>
      </c>
      <c r="Y1242" t="s">
        <v>221</v>
      </c>
      <c r="Z1242" t="s">
        <v>73</v>
      </c>
      <c r="AA1242" t="str">
        <f t="shared" si="12"/>
        <v>14221-3230</v>
      </c>
      <c r="AB1242" t="s">
        <v>88</v>
      </c>
      <c r="AC1242" t="s">
        <v>75</v>
      </c>
      <c r="AD1242" t="s">
        <v>72</v>
      </c>
      <c r="AE1242" t="s">
        <v>76</v>
      </c>
      <c r="AF1242" t="s">
        <v>4059</v>
      </c>
      <c r="AG1242" t="s">
        <v>77</v>
      </c>
    </row>
    <row r="1243" spans="2:33" x14ac:dyDescent="0.25">
      <c r="B1243" t="str">
        <f>"03507375"</f>
        <v>03507375</v>
      </c>
      <c r="C1243" t="s">
        <v>8090</v>
      </c>
      <c r="D1243" t="s">
        <v>8116</v>
      </c>
      <c r="E1243" t="s">
        <v>8117</v>
      </c>
      <c r="F1243">
        <v>160975538</v>
      </c>
      <c r="G1243" t="s">
        <v>8093</v>
      </c>
      <c r="H1243" t="s">
        <v>491</v>
      </c>
      <c r="J1243" t="s">
        <v>8094</v>
      </c>
      <c r="L1243" t="s">
        <v>35</v>
      </c>
      <c r="M1243" t="s">
        <v>81</v>
      </c>
      <c r="W1243" t="s">
        <v>8117</v>
      </c>
      <c r="X1243" t="s">
        <v>861</v>
      </c>
      <c r="Y1243" t="s">
        <v>221</v>
      </c>
      <c r="Z1243" t="s">
        <v>73</v>
      </c>
      <c r="AA1243" t="str">
        <f t="shared" si="12"/>
        <v>14221-3230</v>
      </c>
      <c r="AB1243" t="s">
        <v>88</v>
      </c>
      <c r="AC1243" t="s">
        <v>75</v>
      </c>
      <c r="AD1243" t="s">
        <v>72</v>
      </c>
      <c r="AE1243" t="s">
        <v>76</v>
      </c>
      <c r="AF1243" t="s">
        <v>4059</v>
      </c>
      <c r="AG1243" t="s">
        <v>77</v>
      </c>
    </row>
    <row r="1244" spans="2:33" x14ac:dyDescent="0.25">
      <c r="B1244" t="str">
        <f>"01737044"</f>
        <v>01737044</v>
      </c>
      <c r="C1244" t="s">
        <v>8090</v>
      </c>
      <c r="D1244" t="s">
        <v>8118</v>
      </c>
      <c r="E1244" t="s">
        <v>8119</v>
      </c>
      <c r="F1244">
        <v>160975538</v>
      </c>
      <c r="G1244" t="s">
        <v>8093</v>
      </c>
      <c r="H1244" t="s">
        <v>491</v>
      </c>
      <c r="J1244" t="s">
        <v>8094</v>
      </c>
      <c r="L1244" t="s">
        <v>35</v>
      </c>
      <c r="M1244" t="s">
        <v>81</v>
      </c>
      <c r="W1244" t="s">
        <v>8119</v>
      </c>
      <c r="X1244" t="s">
        <v>8120</v>
      </c>
      <c r="Y1244" t="s">
        <v>221</v>
      </c>
      <c r="Z1244" t="s">
        <v>73</v>
      </c>
      <c r="AA1244" t="str">
        <f t="shared" si="12"/>
        <v>14221-3230</v>
      </c>
      <c r="AB1244" t="s">
        <v>88</v>
      </c>
      <c r="AC1244" t="s">
        <v>75</v>
      </c>
      <c r="AD1244" t="s">
        <v>72</v>
      </c>
      <c r="AE1244" t="s">
        <v>76</v>
      </c>
      <c r="AF1244" t="s">
        <v>4059</v>
      </c>
      <c r="AG1244" t="s">
        <v>77</v>
      </c>
    </row>
    <row r="1245" spans="2:33" x14ac:dyDescent="0.25">
      <c r="B1245" t="str">
        <f>"03169679"</f>
        <v>03169679</v>
      </c>
      <c r="C1245" t="s">
        <v>8090</v>
      </c>
      <c r="D1245" t="s">
        <v>8121</v>
      </c>
      <c r="E1245" t="s">
        <v>8122</v>
      </c>
      <c r="F1245">
        <v>160975538</v>
      </c>
      <c r="G1245" t="s">
        <v>8093</v>
      </c>
      <c r="H1245" t="s">
        <v>491</v>
      </c>
      <c r="J1245" t="s">
        <v>8094</v>
      </c>
      <c r="L1245" t="s">
        <v>35</v>
      </c>
      <c r="M1245" t="s">
        <v>81</v>
      </c>
      <c r="W1245" t="s">
        <v>8122</v>
      </c>
      <c r="X1245" t="s">
        <v>861</v>
      </c>
      <c r="Y1245" t="s">
        <v>221</v>
      </c>
      <c r="Z1245" t="s">
        <v>73</v>
      </c>
      <c r="AA1245" t="str">
        <f t="shared" si="12"/>
        <v>14221-3230</v>
      </c>
      <c r="AB1245" t="s">
        <v>88</v>
      </c>
      <c r="AC1245" t="s">
        <v>75</v>
      </c>
      <c r="AD1245" t="s">
        <v>72</v>
      </c>
      <c r="AE1245" t="s">
        <v>76</v>
      </c>
      <c r="AF1245" t="s">
        <v>4059</v>
      </c>
      <c r="AG1245" t="s">
        <v>77</v>
      </c>
    </row>
    <row r="1246" spans="2:33" x14ac:dyDescent="0.25">
      <c r="B1246" t="str">
        <f>"02711604"</f>
        <v>02711604</v>
      </c>
      <c r="C1246" t="s">
        <v>8090</v>
      </c>
      <c r="D1246" t="s">
        <v>8123</v>
      </c>
      <c r="E1246" t="s">
        <v>8124</v>
      </c>
      <c r="F1246">
        <v>160975538</v>
      </c>
      <c r="G1246" t="s">
        <v>8093</v>
      </c>
      <c r="H1246" t="s">
        <v>491</v>
      </c>
      <c r="J1246" t="s">
        <v>8094</v>
      </c>
      <c r="L1246" t="s">
        <v>35</v>
      </c>
      <c r="M1246" t="s">
        <v>81</v>
      </c>
      <c r="W1246" t="s">
        <v>8124</v>
      </c>
      <c r="X1246" t="s">
        <v>8125</v>
      </c>
      <c r="Y1246" t="s">
        <v>221</v>
      </c>
      <c r="Z1246" t="s">
        <v>73</v>
      </c>
      <c r="AA1246" t="str">
        <f t="shared" si="12"/>
        <v>14221-3230</v>
      </c>
      <c r="AB1246" t="s">
        <v>88</v>
      </c>
      <c r="AC1246" t="s">
        <v>75</v>
      </c>
      <c r="AD1246" t="s">
        <v>72</v>
      </c>
      <c r="AE1246" t="s">
        <v>76</v>
      </c>
      <c r="AF1246" t="s">
        <v>4059</v>
      </c>
      <c r="AG1246" t="s">
        <v>77</v>
      </c>
    </row>
    <row r="1247" spans="2:33" x14ac:dyDescent="0.25">
      <c r="B1247" t="str">
        <f>"03542147"</f>
        <v>03542147</v>
      </c>
      <c r="C1247" t="s">
        <v>8090</v>
      </c>
      <c r="D1247" t="s">
        <v>8126</v>
      </c>
      <c r="E1247" t="s">
        <v>8127</v>
      </c>
      <c r="F1247">
        <v>160975538</v>
      </c>
      <c r="G1247" t="s">
        <v>8093</v>
      </c>
      <c r="H1247" t="s">
        <v>491</v>
      </c>
      <c r="J1247" t="s">
        <v>8094</v>
      </c>
      <c r="L1247" t="s">
        <v>35</v>
      </c>
      <c r="M1247" t="s">
        <v>81</v>
      </c>
      <c r="W1247" t="s">
        <v>8127</v>
      </c>
      <c r="X1247" t="s">
        <v>861</v>
      </c>
      <c r="Y1247" t="s">
        <v>221</v>
      </c>
      <c r="Z1247" t="s">
        <v>73</v>
      </c>
      <c r="AA1247" t="str">
        <f t="shared" si="12"/>
        <v>14221-3230</v>
      </c>
      <c r="AB1247" t="s">
        <v>88</v>
      </c>
      <c r="AC1247" t="s">
        <v>75</v>
      </c>
      <c r="AD1247" t="s">
        <v>72</v>
      </c>
      <c r="AE1247" t="s">
        <v>76</v>
      </c>
      <c r="AF1247" t="s">
        <v>4059</v>
      </c>
      <c r="AG1247" t="s">
        <v>77</v>
      </c>
    </row>
    <row r="1248" spans="2:33" x14ac:dyDescent="0.25">
      <c r="B1248" t="str">
        <f>"03539062"</f>
        <v>03539062</v>
      </c>
      <c r="C1248" t="s">
        <v>8090</v>
      </c>
      <c r="D1248" t="s">
        <v>8128</v>
      </c>
      <c r="E1248" t="s">
        <v>8129</v>
      </c>
      <c r="F1248">
        <v>160975538</v>
      </c>
      <c r="G1248" t="s">
        <v>8093</v>
      </c>
      <c r="H1248" t="s">
        <v>491</v>
      </c>
      <c r="J1248" t="s">
        <v>8094</v>
      </c>
      <c r="L1248" t="s">
        <v>35</v>
      </c>
      <c r="M1248" t="s">
        <v>81</v>
      </c>
      <c r="W1248" t="s">
        <v>8129</v>
      </c>
      <c r="X1248" t="s">
        <v>861</v>
      </c>
      <c r="Y1248" t="s">
        <v>221</v>
      </c>
      <c r="Z1248" t="s">
        <v>73</v>
      </c>
      <c r="AA1248" t="str">
        <f t="shared" si="12"/>
        <v>14221-3230</v>
      </c>
      <c r="AB1248" t="s">
        <v>88</v>
      </c>
      <c r="AC1248" t="s">
        <v>75</v>
      </c>
      <c r="AD1248" t="s">
        <v>72</v>
      </c>
      <c r="AE1248" t="s">
        <v>76</v>
      </c>
      <c r="AF1248" t="s">
        <v>4059</v>
      </c>
      <c r="AG1248" t="s">
        <v>77</v>
      </c>
    </row>
    <row r="1249" spans="1:33" x14ac:dyDescent="0.25">
      <c r="B1249" t="str">
        <f>"03539071"</f>
        <v>03539071</v>
      </c>
      <c r="C1249" t="s">
        <v>8090</v>
      </c>
      <c r="D1249" t="s">
        <v>8130</v>
      </c>
      <c r="E1249" t="s">
        <v>8131</v>
      </c>
      <c r="F1249">
        <v>160975538</v>
      </c>
      <c r="G1249" t="s">
        <v>8093</v>
      </c>
      <c r="H1249" t="s">
        <v>491</v>
      </c>
      <c r="J1249" t="s">
        <v>8094</v>
      </c>
      <c r="L1249" t="s">
        <v>35</v>
      </c>
      <c r="M1249" t="s">
        <v>81</v>
      </c>
      <c r="W1249" t="s">
        <v>8131</v>
      </c>
      <c r="X1249" t="s">
        <v>861</v>
      </c>
      <c r="Y1249" t="s">
        <v>221</v>
      </c>
      <c r="Z1249" t="s">
        <v>73</v>
      </c>
      <c r="AA1249" t="str">
        <f t="shared" si="12"/>
        <v>14221-3230</v>
      </c>
      <c r="AB1249" t="s">
        <v>88</v>
      </c>
      <c r="AC1249" t="s">
        <v>75</v>
      </c>
      <c r="AD1249" t="s">
        <v>72</v>
      </c>
      <c r="AE1249" t="s">
        <v>76</v>
      </c>
      <c r="AF1249" t="s">
        <v>4059</v>
      </c>
      <c r="AG1249" t="s">
        <v>77</v>
      </c>
    </row>
    <row r="1250" spans="1:33" x14ac:dyDescent="0.25">
      <c r="B1250" t="str">
        <f>"03507733"</f>
        <v>03507733</v>
      </c>
      <c r="C1250" t="s">
        <v>8090</v>
      </c>
      <c r="D1250" t="s">
        <v>8132</v>
      </c>
      <c r="E1250" t="s">
        <v>8133</v>
      </c>
      <c r="F1250">
        <v>160975538</v>
      </c>
      <c r="G1250" t="s">
        <v>8093</v>
      </c>
      <c r="H1250" t="s">
        <v>491</v>
      </c>
      <c r="J1250" t="s">
        <v>8094</v>
      </c>
      <c r="L1250" t="s">
        <v>35</v>
      </c>
      <c r="M1250" t="s">
        <v>81</v>
      </c>
      <c r="W1250" t="s">
        <v>8133</v>
      </c>
      <c r="X1250" t="s">
        <v>861</v>
      </c>
      <c r="Y1250" t="s">
        <v>221</v>
      </c>
      <c r="Z1250" t="s">
        <v>73</v>
      </c>
      <c r="AA1250" t="str">
        <f t="shared" si="12"/>
        <v>14221-3230</v>
      </c>
      <c r="AB1250" t="s">
        <v>88</v>
      </c>
      <c r="AC1250" t="s">
        <v>75</v>
      </c>
      <c r="AD1250" t="s">
        <v>72</v>
      </c>
      <c r="AE1250" t="s">
        <v>76</v>
      </c>
      <c r="AF1250" t="s">
        <v>4059</v>
      </c>
      <c r="AG1250" t="s">
        <v>77</v>
      </c>
    </row>
    <row r="1251" spans="1:33" x14ac:dyDescent="0.25">
      <c r="B1251" t="str">
        <f>"03507384"</f>
        <v>03507384</v>
      </c>
      <c r="C1251" t="s">
        <v>8090</v>
      </c>
      <c r="D1251" t="s">
        <v>8134</v>
      </c>
      <c r="E1251" t="s">
        <v>8135</v>
      </c>
      <c r="F1251">
        <v>160975538</v>
      </c>
      <c r="G1251" t="s">
        <v>8093</v>
      </c>
      <c r="H1251" t="s">
        <v>491</v>
      </c>
      <c r="J1251" t="s">
        <v>8094</v>
      </c>
      <c r="L1251" t="s">
        <v>35</v>
      </c>
      <c r="M1251" t="s">
        <v>81</v>
      </c>
      <c r="W1251" t="s">
        <v>8135</v>
      </c>
      <c r="X1251" t="s">
        <v>861</v>
      </c>
      <c r="Y1251" t="s">
        <v>221</v>
      </c>
      <c r="Z1251" t="s">
        <v>73</v>
      </c>
      <c r="AA1251" t="str">
        <f t="shared" si="12"/>
        <v>14221-3230</v>
      </c>
      <c r="AB1251" t="s">
        <v>88</v>
      </c>
      <c r="AC1251" t="s">
        <v>75</v>
      </c>
      <c r="AD1251" t="s">
        <v>72</v>
      </c>
      <c r="AE1251" t="s">
        <v>76</v>
      </c>
      <c r="AF1251" t="s">
        <v>4059</v>
      </c>
      <c r="AG1251" t="s">
        <v>77</v>
      </c>
    </row>
    <row r="1252" spans="1:33" x14ac:dyDescent="0.25">
      <c r="B1252" t="str">
        <f>"03507366"</f>
        <v>03507366</v>
      </c>
      <c r="C1252" t="s">
        <v>8090</v>
      </c>
      <c r="D1252" t="s">
        <v>8136</v>
      </c>
      <c r="E1252" t="s">
        <v>8137</v>
      </c>
      <c r="F1252">
        <v>160975538</v>
      </c>
      <c r="G1252" t="s">
        <v>8093</v>
      </c>
      <c r="H1252" t="s">
        <v>491</v>
      </c>
      <c r="J1252" t="s">
        <v>8094</v>
      </c>
      <c r="L1252" t="s">
        <v>35</v>
      </c>
      <c r="M1252" t="s">
        <v>81</v>
      </c>
      <c r="W1252" t="s">
        <v>8137</v>
      </c>
      <c r="X1252" t="s">
        <v>861</v>
      </c>
      <c r="Y1252" t="s">
        <v>221</v>
      </c>
      <c r="Z1252" t="s">
        <v>73</v>
      </c>
      <c r="AA1252" t="str">
        <f t="shared" si="12"/>
        <v>14221-3230</v>
      </c>
      <c r="AB1252" t="s">
        <v>88</v>
      </c>
      <c r="AC1252" t="s">
        <v>75</v>
      </c>
      <c r="AD1252" t="s">
        <v>72</v>
      </c>
      <c r="AE1252" t="s">
        <v>76</v>
      </c>
      <c r="AF1252" t="s">
        <v>4059</v>
      </c>
      <c r="AG1252" t="s">
        <v>77</v>
      </c>
    </row>
    <row r="1253" spans="1:33" x14ac:dyDescent="0.25">
      <c r="B1253" t="str">
        <f>"03459607"</f>
        <v>03459607</v>
      </c>
      <c r="C1253" t="s">
        <v>8090</v>
      </c>
      <c r="D1253" t="s">
        <v>8138</v>
      </c>
      <c r="E1253" t="s">
        <v>8139</v>
      </c>
      <c r="F1253">
        <v>160975538</v>
      </c>
      <c r="G1253" t="s">
        <v>8093</v>
      </c>
      <c r="H1253" t="s">
        <v>491</v>
      </c>
      <c r="J1253" t="s">
        <v>8094</v>
      </c>
      <c r="L1253" t="s">
        <v>35</v>
      </c>
      <c r="M1253" t="s">
        <v>81</v>
      </c>
      <c r="W1253" t="s">
        <v>8139</v>
      </c>
      <c r="X1253" t="s">
        <v>861</v>
      </c>
      <c r="Y1253" t="s">
        <v>221</v>
      </c>
      <c r="Z1253" t="s">
        <v>73</v>
      </c>
      <c r="AA1253" t="str">
        <f t="shared" si="12"/>
        <v>14221-3230</v>
      </c>
      <c r="AB1253" t="s">
        <v>88</v>
      </c>
      <c r="AC1253" t="s">
        <v>75</v>
      </c>
      <c r="AD1253" t="s">
        <v>72</v>
      </c>
      <c r="AE1253" t="s">
        <v>76</v>
      </c>
      <c r="AF1253" t="s">
        <v>4059</v>
      </c>
      <c r="AG1253" t="s">
        <v>77</v>
      </c>
    </row>
    <row r="1254" spans="1:33" x14ac:dyDescent="0.25">
      <c r="B1254" t="str">
        <f>"03396816"</f>
        <v>03396816</v>
      </c>
      <c r="C1254" t="s">
        <v>8090</v>
      </c>
      <c r="D1254" t="s">
        <v>8140</v>
      </c>
      <c r="E1254" t="s">
        <v>8141</v>
      </c>
      <c r="F1254">
        <v>160975538</v>
      </c>
      <c r="G1254" t="s">
        <v>8093</v>
      </c>
      <c r="H1254" t="s">
        <v>491</v>
      </c>
      <c r="J1254" t="s">
        <v>8094</v>
      </c>
      <c r="L1254" t="s">
        <v>35</v>
      </c>
      <c r="M1254" t="s">
        <v>81</v>
      </c>
      <c r="W1254" t="s">
        <v>8141</v>
      </c>
      <c r="X1254" t="s">
        <v>861</v>
      </c>
      <c r="Y1254" t="s">
        <v>221</v>
      </c>
      <c r="Z1254" t="s">
        <v>73</v>
      </c>
      <c r="AA1254" t="str">
        <f t="shared" si="12"/>
        <v>14221-3230</v>
      </c>
      <c r="AB1254" t="s">
        <v>88</v>
      </c>
      <c r="AC1254" t="s">
        <v>75</v>
      </c>
      <c r="AD1254" t="s">
        <v>72</v>
      </c>
      <c r="AE1254" t="s">
        <v>76</v>
      </c>
      <c r="AF1254" t="s">
        <v>4059</v>
      </c>
      <c r="AG1254" t="s">
        <v>77</v>
      </c>
    </row>
    <row r="1255" spans="1:33" x14ac:dyDescent="0.25">
      <c r="B1255" t="str">
        <f>"03293125"</f>
        <v>03293125</v>
      </c>
      <c r="C1255" t="s">
        <v>8090</v>
      </c>
      <c r="D1255" t="s">
        <v>8142</v>
      </c>
      <c r="E1255" t="s">
        <v>8143</v>
      </c>
      <c r="F1255">
        <v>160975538</v>
      </c>
      <c r="G1255" t="s">
        <v>8093</v>
      </c>
      <c r="H1255" t="s">
        <v>491</v>
      </c>
      <c r="J1255" t="s">
        <v>8094</v>
      </c>
      <c r="L1255" t="s">
        <v>35</v>
      </c>
      <c r="M1255" t="s">
        <v>81</v>
      </c>
      <c r="W1255" t="s">
        <v>8143</v>
      </c>
      <c r="X1255" t="s">
        <v>861</v>
      </c>
      <c r="Y1255" t="s">
        <v>221</v>
      </c>
      <c r="Z1255" t="s">
        <v>73</v>
      </c>
      <c r="AA1255" t="str">
        <f t="shared" si="12"/>
        <v>14221-3230</v>
      </c>
      <c r="AB1255" t="s">
        <v>88</v>
      </c>
      <c r="AC1255" t="s">
        <v>75</v>
      </c>
      <c r="AD1255" t="s">
        <v>72</v>
      </c>
      <c r="AE1255" t="s">
        <v>76</v>
      </c>
      <c r="AF1255" t="s">
        <v>4059</v>
      </c>
      <c r="AG1255" t="s">
        <v>77</v>
      </c>
    </row>
    <row r="1256" spans="1:33" x14ac:dyDescent="0.25">
      <c r="B1256" t="str">
        <f>"03538121"</f>
        <v>03538121</v>
      </c>
      <c r="C1256" t="s">
        <v>8090</v>
      </c>
      <c r="D1256" t="s">
        <v>8144</v>
      </c>
      <c r="E1256" t="s">
        <v>8145</v>
      </c>
      <c r="F1256">
        <v>160975538</v>
      </c>
      <c r="G1256" t="s">
        <v>8093</v>
      </c>
      <c r="H1256" t="s">
        <v>491</v>
      </c>
      <c r="J1256" t="s">
        <v>8094</v>
      </c>
      <c r="L1256" t="s">
        <v>35</v>
      </c>
      <c r="M1256" t="s">
        <v>81</v>
      </c>
      <c r="W1256" t="s">
        <v>8145</v>
      </c>
      <c r="X1256" t="s">
        <v>861</v>
      </c>
      <c r="Y1256" t="s">
        <v>221</v>
      </c>
      <c r="Z1256" t="s">
        <v>73</v>
      </c>
      <c r="AA1256" t="str">
        <f t="shared" si="12"/>
        <v>14221-3230</v>
      </c>
      <c r="AB1256" t="s">
        <v>88</v>
      </c>
      <c r="AC1256" t="s">
        <v>75</v>
      </c>
      <c r="AD1256" t="s">
        <v>72</v>
      </c>
      <c r="AE1256" t="s">
        <v>76</v>
      </c>
      <c r="AF1256" t="s">
        <v>4059</v>
      </c>
      <c r="AG1256" t="s">
        <v>77</v>
      </c>
    </row>
    <row r="1257" spans="1:33" x14ac:dyDescent="0.25">
      <c r="B1257" t="str">
        <f>"02170905"</f>
        <v>02170905</v>
      </c>
      <c r="C1257" t="s">
        <v>8090</v>
      </c>
      <c r="D1257" t="s">
        <v>8146</v>
      </c>
      <c r="E1257" t="s">
        <v>8147</v>
      </c>
      <c r="F1257">
        <v>160975538</v>
      </c>
      <c r="G1257" t="s">
        <v>8093</v>
      </c>
      <c r="H1257" t="s">
        <v>491</v>
      </c>
      <c r="J1257" t="s">
        <v>8094</v>
      </c>
      <c r="L1257" t="s">
        <v>35</v>
      </c>
      <c r="M1257" t="s">
        <v>81</v>
      </c>
      <c r="W1257" t="s">
        <v>8147</v>
      </c>
      <c r="X1257" t="s">
        <v>207</v>
      </c>
      <c r="Y1257" t="s">
        <v>221</v>
      </c>
      <c r="Z1257" t="s">
        <v>73</v>
      </c>
      <c r="AA1257" t="str">
        <f t="shared" si="12"/>
        <v>14221-3230</v>
      </c>
      <c r="AB1257" t="s">
        <v>88</v>
      </c>
      <c r="AC1257" t="s">
        <v>75</v>
      </c>
      <c r="AD1257" t="s">
        <v>72</v>
      </c>
      <c r="AE1257" t="s">
        <v>76</v>
      </c>
      <c r="AF1257" t="s">
        <v>4059</v>
      </c>
      <c r="AG1257" t="s">
        <v>77</v>
      </c>
    </row>
    <row r="1258" spans="1:33" x14ac:dyDescent="0.25">
      <c r="B1258" t="str">
        <f>"02248846"</f>
        <v>02248846</v>
      </c>
      <c r="C1258" t="s">
        <v>8148</v>
      </c>
      <c r="D1258" t="s">
        <v>2874</v>
      </c>
      <c r="E1258" t="s">
        <v>2873</v>
      </c>
      <c r="F1258">
        <v>161146128</v>
      </c>
      <c r="G1258" t="s">
        <v>8149</v>
      </c>
      <c r="H1258" t="s">
        <v>8150</v>
      </c>
      <c r="J1258" t="s">
        <v>8151</v>
      </c>
      <c r="L1258" t="s">
        <v>35</v>
      </c>
      <c r="M1258" t="s">
        <v>81</v>
      </c>
      <c r="W1258" t="s">
        <v>2873</v>
      </c>
      <c r="X1258" t="s">
        <v>101</v>
      </c>
      <c r="Y1258" t="s">
        <v>188</v>
      </c>
      <c r="Z1258" t="s">
        <v>73</v>
      </c>
      <c r="AA1258" t="str">
        <f>"14092-1726"</f>
        <v>14092-1726</v>
      </c>
      <c r="AB1258" t="s">
        <v>88</v>
      </c>
      <c r="AC1258" t="s">
        <v>75</v>
      </c>
      <c r="AD1258" t="s">
        <v>72</v>
      </c>
      <c r="AE1258" t="s">
        <v>76</v>
      </c>
      <c r="AF1258" t="s">
        <v>4059</v>
      </c>
      <c r="AG1258" t="s">
        <v>77</v>
      </c>
    </row>
    <row r="1259" spans="1:33" x14ac:dyDescent="0.25">
      <c r="B1259" t="str">
        <f>"03171455"</f>
        <v>03171455</v>
      </c>
      <c r="C1259" t="s">
        <v>8152</v>
      </c>
      <c r="D1259" t="s">
        <v>8153</v>
      </c>
      <c r="E1259" t="s">
        <v>8154</v>
      </c>
      <c r="F1259">
        <v>161115992</v>
      </c>
      <c r="G1259" t="s">
        <v>8155</v>
      </c>
      <c r="H1259" t="s">
        <v>529</v>
      </c>
      <c r="J1259" t="s">
        <v>8156</v>
      </c>
      <c r="L1259" t="s">
        <v>35</v>
      </c>
      <c r="M1259" t="s">
        <v>81</v>
      </c>
      <c r="W1259" t="s">
        <v>8154</v>
      </c>
      <c r="X1259" t="s">
        <v>8157</v>
      </c>
      <c r="Y1259" t="s">
        <v>533</v>
      </c>
      <c r="Z1259" t="s">
        <v>73</v>
      </c>
      <c r="AA1259" t="str">
        <f>"14059-9530"</f>
        <v>14059-9530</v>
      </c>
      <c r="AB1259" t="s">
        <v>88</v>
      </c>
      <c r="AC1259" t="s">
        <v>75</v>
      </c>
      <c r="AD1259" t="s">
        <v>72</v>
      </c>
      <c r="AE1259" t="s">
        <v>76</v>
      </c>
      <c r="AF1259" t="s">
        <v>4059</v>
      </c>
      <c r="AG1259" t="s">
        <v>77</v>
      </c>
    </row>
    <row r="1260" spans="1:33" x14ac:dyDescent="0.25">
      <c r="B1260" t="str">
        <f>"02004144"</f>
        <v>02004144</v>
      </c>
      <c r="C1260" t="s">
        <v>8152</v>
      </c>
      <c r="D1260" t="s">
        <v>8158</v>
      </c>
      <c r="E1260" t="s">
        <v>8159</v>
      </c>
      <c r="F1260">
        <v>161115992</v>
      </c>
      <c r="G1260" t="s">
        <v>8155</v>
      </c>
      <c r="H1260" t="s">
        <v>529</v>
      </c>
      <c r="J1260" t="s">
        <v>8156</v>
      </c>
      <c r="L1260" t="s">
        <v>33</v>
      </c>
      <c r="M1260" t="s">
        <v>72</v>
      </c>
      <c r="W1260" t="s">
        <v>8160</v>
      </c>
      <c r="X1260" t="s">
        <v>532</v>
      </c>
      <c r="Y1260" t="s">
        <v>533</v>
      </c>
      <c r="Z1260" t="s">
        <v>73</v>
      </c>
      <c r="AA1260" t="str">
        <f>"14059-9530"</f>
        <v>14059-9530</v>
      </c>
      <c r="AB1260" t="s">
        <v>88</v>
      </c>
      <c r="AC1260" t="s">
        <v>75</v>
      </c>
      <c r="AD1260" t="s">
        <v>72</v>
      </c>
      <c r="AE1260" t="s">
        <v>76</v>
      </c>
      <c r="AF1260" t="s">
        <v>4059</v>
      </c>
      <c r="AG1260" t="s">
        <v>77</v>
      </c>
    </row>
    <row r="1261" spans="1:33" x14ac:dyDescent="0.25">
      <c r="B1261" t="str">
        <f>"02004135"</f>
        <v>02004135</v>
      </c>
      <c r="C1261" t="s">
        <v>8152</v>
      </c>
      <c r="D1261" t="s">
        <v>8161</v>
      </c>
      <c r="E1261" t="s">
        <v>8162</v>
      </c>
      <c r="G1261" t="s">
        <v>8155</v>
      </c>
      <c r="H1261" t="s">
        <v>529</v>
      </c>
      <c r="J1261" t="s">
        <v>8156</v>
      </c>
      <c r="L1261" t="s">
        <v>33</v>
      </c>
      <c r="M1261" t="s">
        <v>72</v>
      </c>
      <c r="W1261" t="s">
        <v>8163</v>
      </c>
      <c r="X1261" t="s">
        <v>532</v>
      </c>
      <c r="Y1261" t="s">
        <v>533</v>
      </c>
      <c r="Z1261" t="s">
        <v>73</v>
      </c>
      <c r="AA1261" t="str">
        <f>"14059-9530"</f>
        <v>14059-9530</v>
      </c>
      <c r="AB1261" t="s">
        <v>88</v>
      </c>
      <c r="AC1261" t="s">
        <v>75</v>
      </c>
      <c r="AD1261" t="s">
        <v>72</v>
      </c>
      <c r="AE1261" t="s">
        <v>76</v>
      </c>
      <c r="AF1261" t="s">
        <v>4059</v>
      </c>
      <c r="AG1261" t="s">
        <v>77</v>
      </c>
    </row>
    <row r="1262" spans="1:33" x14ac:dyDescent="0.25">
      <c r="A1262" t="str">
        <f>"1912163015"</f>
        <v>1912163015</v>
      </c>
      <c r="B1262" t="str">
        <f>"03257307"</f>
        <v>03257307</v>
      </c>
      <c r="C1262" t="s">
        <v>3474</v>
      </c>
      <c r="D1262" t="s">
        <v>8164</v>
      </c>
      <c r="E1262" t="s">
        <v>8165</v>
      </c>
      <c r="G1262" t="s">
        <v>8166</v>
      </c>
      <c r="H1262" t="s">
        <v>8167</v>
      </c>
      <c r="J1262" t="s">
        <v>8168</v>
      </c>
      <c r="L1262" t="s">
        <v>106</v>
      </c>
      <c r="M1262" t="s">
        <v>81</v>
      </c>
      <c r="R1262" t="s">
        <v>8169</v>
      </c>
      <c r="W1262" t="s">
        <v>8165</v>
      </c>
      <c r="X1262" t="s">
        <v>838</v>
      </c>
      <c r="Y1262" t="s">
        <v>217</v>
      </c>
      <c r="Z1262" t="s">
        <v>73</v>
      </c>
      <c r="AA1262" t="str">
        <f>"14760-1100"</f>
        <v>14760-1100</v>
      </c>
      <c r="AB1262" t="s">
        <v>109</v>
      </c>
      <c r="AC1262" t="s">
        <v>75</v>
      </c>
      <c r="AD1262" t="s">
        <v>72</v>
      </c>
      <c r="AE1262" t="s">
        <v>76</v>
      </c>
      <c r="AF1262" t="s">
        <v>4059</v>
      </c>
      <c r="AG1262" t="s">
        <v>77</v>
      </c>
    </row>
    <row r="1263" spans="1:33" x14ac:dyDescent="0.25">
      <c r="B1263" t="str">
        <f>"02731946"</f>
        <v>02731946</v>
      </c>
      <c r="C1263" t="s">
        <v>5091</v>
      </c>
      <c r="D1263" t="s">
        <v>8170</v>
      </c>
      <c r="E1263" t="s">
        <v>8171</v>
      </c>
      <c r="F1263">
        <v>160786061</v>
      </c>
      <c r="G1263" t="s">
        <v>5094</v>
      </c>
      <c r="H1263" t="s">
        <v>5095</v>
      </c>
      <c r="J1263" t="s">
        <v>5096</v>
      </c>
      <c r="L1263" t="s">
        <v>35</v>
      </c>
      <c r="M1263" t="s">
        <v>81</v>
      </c>
      <c r="W1263" t="s">
        <v>8172</v>
      </c>
      <c r="X1263" t="s">
        <v>189</v>
      </c>
      <c r="Y1263" t="s">
        <v>209</v>
      </c>
      <c r="Z1263" t="s">
        <v>73</v>
      </c>
      <c r="AA1263" t="str">
        <f>"14304-2459"</f>
        <v>14304-2459</v>
      </c>
      <c r="AB1263" t="s">
        <v>88</v>
      </c>
      <c r="AC1263" t="s">
        <v>75</v>
      </c>
      <c r="AD1263" t="s">
        <v>72</v>
      </c>
      <c r="AE1263" t="s">
        <v>76</v>
      </c>
      <c r="AF1263" t="s">
        <v>4059</v>
      </c>
      <c r="AG1263" t="s">
        <v>77</v>
      </c>
    </row>
    <row r="1264" spans="1:33" x14ac:dyDescent="0.25">
      <c r="B1264" t="str">
        <f>"02252757"</f>
        <v>02252757</v>
      </c>
      <c r="C1264" t="s">
        <v>5091</v>
      </c>
      <c r="D1264" t="s">
        <v>8173</v>
      </c>
      <c r="E1264" t="s">
        <v>8174</v>
      </c>
      <c r="F1264">
        <v>160786061</v>
      </c>
      <c r="G1264" t="s">
        <v>5094</v>
      </c>
      <c r="H1264" t="s">
        <v>5095</v>
      </c>
      <c r="J1264" t="s">
        <v>5096</v>
      </c>
      <c r="L1264" t="s">
        <v>35</v>
      </c>
      <c r="M1264" t="s">
        <v>81</v>
      </c>
      <c r="W1264" t="s">
        <v>8174</v>
      </c>
      <c r="X1264" t="s">
        <v>101</v>
      </c>
      <c r="Y1264" t="s">
        <v>209</v>
      </c>
      <c r="Z1264" t="s">
        <v>73</v>
      </c>
      <c r="AA1264" t="str">
        <f>"14304-1114"</f>
        <v>14304-1114</v>
      </c>
      <c r="AB1264" t="s">
        <v>88</v>
      </c>
      <c r="AC1264" t="s">
        <v>75</v>
      </c>
      <c r="AD1264" t="s">
        <v>72</v>
      </c>
      <c r="AE1264" t="s">
        <v>76</v>
      </c>
      <c r="AF1264" t="s">
        <v>4059</v>
      </c>
      <c r="AG1264" t="s">
        <v>77</v>
      </c>
    </row>
    <row r="1265" spans="1:33" x14ac:dyDescent="0.25">
      <c r="B1265" t="str">
        <f>"02170092"</f>
        <v>02170092</v>
      </c>
      <c r="C1265" t="s">
        <v>5091</v>
      </c>
      <c r="D1265" t="s">
        <v>8175</v>
      </c>
      <c r="E1265" t="s">
        <v>8176</v>
      </c>
      <c r="F1265">
        <v>160786061</v>
      </c>
      <c r="G1265" t="s">
        <v>5094</v>
      </c>
      <c r="H1265" t="s">
        <v>5095</v>
      </c>
      <c r="J1265" t="s">
        <v>5096</v>
      </c>
      <c r="L1265" t="s">
        <v>35</v>
      </c>
      <c r="M1265" t="s">
        <v>81</v>
      </c>
      <c r="W1265" t="s">
        <v>8176</v>
      </c>
      <c r="X1265" t="s">
        <v>190</v>
      </c>
      <c r="Y1265" t="s">
        <v>209</v>
      </c>
      <c r="Z1265" t="s">
        <v>73</v>
      </c>
      <c r="AA1265" t="str">
        <f>"14304-1114"</f>
        <v>14304-1114</v>
      </c>
      <c r="AB1265" t="s">
        <v>88</v>
      </c>
      <c r="AC1265" t="s">
        <v>75</v>
      </c>
      <c r="AD1265" t="s">
        <v>72</v>
      </c>
      <c r="AE1265" t="s">
        <v>76</v>
      </c>
      <c r="AF1265" t="s">
        <v>4059</v>
      </c>
      <c r="AG1265" t="s">
        <v>77</v>
      </c>
    </row>
    <row r="1266" spans="1:33" x14ac:dyDescent="0.25">
      <c r="A1266" t="str">
        <f>"1689958225"</f>
        <v>1689958225</v>
      </c>
      <c r="C1266" t="s">
        <v>8177</v>
      </c>
      <c r="G1266" t="s">
        <v>396</v>
      </c>
      <c r="H1266" t="s">
        <v>397</v>
      </c>
      <c r="J1266" t="s">
        <v>398</v>
      </c>
      <c r="K1266" t="s">
        <v>89</v>
      </c>
      <c r="L1266" t="s">
        <v>92</v>
      </c>
      <c r="M1266" t="s">
        <v>72</v>
      </c>
      <c r="R1266" t="s">
        <v>1140</v>
      </c>
      <c r="S1266" t="s">
        <v>1092</v>
      </c>
      <c r="T1266" t="s">
        <v>117</v>
      </c>
      <c r="U1266" t="s">
        <v>73</v>
      </c>
      <c r="V1266" t="str">
        <f>"142092111"</f>
        <v>142092111</v>
      </c>
      <c r="AC1266" t="s">
        <v>75</v>
      </c>
      <c r="AD1266" t="s">
        <v>72</v>
      </c>
      <c r="AE1266" t="s">
        <v>93</v>
      </c>
      <c r="AF1266" t="s">
        <v>4043</v>
      </c>
      <c r="AG1266" t="s">
        <v>77</v>
      </c>
    </row>
    <row r="1267" spans="1:33" x14ac:dyDescent="0.25">
      <c r="A1267" t="str">
        <f>"1104998590"</f>
        <v>1104998590</v>
      </c>
      <c r="B1267" t="str">
        <f>"03535164"</f>
        <v>03535164</v>
      </c>
      <c r="C1267" t="s">
        <v>8178</v>
      </c>
      <c r="D1267" t="s">
        <v>2673</v>
      </c>
      <c r="E1267" t="s">
        <v>2674</v>
      </c>
      <c r="G1267" t="s">
        <v>396</v>
      </c>
      <c r="H1267" t="s">
        <v>397</v>
      </c>
      <c r="J1267" t="s">
        <v>398</v>
      </c>
      <c r="L1267" t="s">
        <v>92</v>
      </c>
      <c r="M1267" t="s">
        <v>72</v>
      </c>
      <c r="R1267" t="s">
        <v>2675</v>
      </c>
      <c r="W1267" t="s">
        <v>2674</v>
      </c>
      <c r="X1267" t="s">
        <v>831</v>
      </c>
      <c r="Y1267" t="s">
        <v>237</v>
      </c>
      <c r="Z1267" t="s">
        <v>73</v>
      </c>
      <c r="AA1267" t="str">
        <f>"14224-2635"</f>
        <v>14224-2635</v>
      </c>
      <c r="AB1267" t="s">
        <v>100</v>
      </c>
      <c r="AC1267" t="s">
        <v>75</v>
      </c>
      <c r="AD1267" t="s">
        <v>72</v>
      </c>
      <c r="AE1267" t="s">
        <v>76</v>
      </c>
      <c r="AF1267" t="s">
        <v>4043</v>
      </c>
      <c r="AG1267" t="s">
        <v>77</v>
      </c>
    </row>
    <row r="1268" spans="1:33" x14ac:dyDescent="0.25">
      <c r="A1268" t="str">
        <f>"1780085605"</f>
        <v>1780085605</v>
      </c>
      <c r="C1268" t="s">
        <v>8179</v>
      </c>
      <c r="G1268" t="s">
        <v>396</v>
      </c>
      <c r="H1268" t="s">
        <v>397</v>
      </c>
      <c r="J1268" t="s">
        <v>398</v>
      </c>
      <c r="K1268" t="s">
        <v>89</v>
      </c>
      <c r="L1268" t="s">
        <v>71</v>
      </c>
      <c r="M1268" t="s">
        <v>72</v>
      </c>
      <c r="R1268" t="s">
        <v>681</v>
      </c>
      <c r="S1268" t="s">
        <v>682</v>
      </c>
      <c r="T1268" t="s">
        <v>117</v>
      </c>
      <c r="U1268" t="s">
        <v>73</v>
      </c>
      <c r="V1268" t="str">
        <f>"142091912"</f>
        <v>142091912</v>
      </c>
      <c r="AC1268" t="s">
        <v>75</v>
      </c>
      <c r="AD1268" t="s">
        <v>72</v>
      </c>
      <c r="AE1268" t="s">
        <v>93</v>
      </c>
      <c r="AF1268" t="s">
        <v>4043</v>
      </c>
      <c r="AG1268" t="s">
        <v>77</v>
      </c>
    </row>
    <row r="1269" spans="1:33" x14ac:dyDescent="0.25">
      <c r="A1269" t="str">
        <f>"1568890655"</f>
        <v>1568890655</v>
      </c>
      <c r="B1269" t="str">
        <f>"03713499"</f>
        <v>03713499</v>
      </c>
      <c r="C1269" t="s">
        <v>8180</v>
      </c>
      <c r="D1269" t="s">
        <v>1366</v>
      </c>
      <c r="E1269" t="s">
        <v>1367</v>
      </c>
      <c r="G1269" t="s">
        <v>396</v>
      </c>
      <c r="H1269" t="s">
        <v>397</v>
      </c>
      <c r="J1269" t="s">
        <v>398</v>
      </c>
      <c r="L1269" t="s">
        <v>71</v>
      </c>
      <c r="M1269" t="s">
        <v>72</v>
      </c>
      <c r="R1269" t="s">
        <v>1368</v>
      </c>
      <c r="W1269" t="s">
        <v>1367</v>
      </c>
      <c r="X1269" t="s">
        <v>1092</v>
      </c>
      <c r="Y1269" t="s">
        <v>117</v>
      </c>
      <c r="Z1269" t="s">
        <v>73</v>
      </c>
      <c r="AA1269" t="str">
        <f>"14209-2111"</f>
        <v>14209-2111</v>
      </c>
      <c r="AB1269" t="s">
        <v>105</v>
      </c>
      <c r="AC1269" t="s">
        <v>75</v>
      </c>
      <c r="AD1269" t="s">
        <v>72</v>
      </c>
      <c r="AE1269" t="s">
        <v>76</v>
      </c>
      <c r="AF1269" t="s">
        <v>4043</v>
      </c>
      <c r="AG1269" t="s">
        <v>77</v>
      </c>
    </row>
    <row r="1270" spans="1:33" x14ac:dyDescent="0.25">
      <c r="A1270" t="str">
        <f>"1659782092"</f>
        <v>1659782092</v>
      </c>
      <c r="C1270" t="s">
        <v>8181</v>
      </c>
      <c r="G1270" t="s">
        <v>396</v>
      </c>
      <c r="H1270" t="s">
        <v>397</v>
      </c>
      <c r="J1270" t="s">
        <v>398</v>
      </c>
      <c r="K1270" t="s">
        <v>89</v>
      </c>
      <c r="L1270" t="s">
        <v>71</v>
      </c>
      <c r="M1270" t="s">
        <v>72</v>
      </c>
      <c r="R1270" t="s">
        <v>840</v>
      </c>
      <c r="S1270" t="s">
        <v>486</v>
      </c>
      <c r="T1270" t="s">
        <v>311</v>
      </c>
      <c r="U1270" t="s">
        <v>73</v>
      </c>
      <c r="V1270" t="str">
        <f>"145691326"</f>
        <v>145691326</v>
      </c>
      <c r="AC1270" t="s">
        <v>75</v>
      </c>
      <c r="AD1270" t="s">
        <v>72</v>
      </c>
      <c r="AE1270" t="s">
        <v>93</v>
      </c>
      <c r="AF1270" t="s">
        <v>4043</v>
      </c>
      <c r="AG1270" t="s">
        <v>77</v>
      </c>
    </row>
    <row r="1271" spans="1:33" x14ac:dyDescent="0.25">
      <c r="A1271" t="str">
        <f>"1336342336"</f>
        <v>1336342336</v>
      </c>
      <c r="B1271" t="str">
        <f>"02893236"</f>
        <v>02893236</v>
      </c>
      <c r="C1271" t="s">
        <v>8182</v>
      </c>
      <c r="D1271" t="s">
        <v>1274</v>
      </c>
      <c r="E1271" t="s">
        <v>1275</v>
      </c>
      <c r="G1271" t="s">
        <v>396</v>
      </c>
      <c r="H1271" t="s">
        <v>397</v>
      </c>
      <c r="J1271" t="s">
        <v>398</v>
      </c>
      <c r="L1271" t="s">
        <v>96</v>
      </c>
      <c r="M1271" t="s">
        <v>72</v>
      </c>
      <c r="R1271" t="s">
        <v>1276</v>
      </c>
      <c r="W1271" t="s">
        <v>1276</v>
      </c>
      <c r="X1271" t="s">
        <v>413</v>
      </c>
      <c r="Y1271" t="s">
        <v>326</v>
      </c>
      <c r="Z1271" t="s">
        <v>73</v>
      </c>
      <c r="AA1271" t="str">
        <f>"14127-2600"</f>
        <v>14127-2600</v>
      </c>
      <c r="AB1271" t="s">
        <v>104</v>
      </c>
      <c r="AC1271" t="s">
        <v>75</v>
      </c>
      <c r="AD1271" t="s">
        <v>72</v>
      </c>
      <c r="AE1271" t="s">
        <v>76</v>
      </c>
      <c r="AF1271" t="s">
        <v>4043</v>
      </c>
      <c r="AG1271" t="s">
        <v>77</v>
      </c>
    </row>
    <row r="1272" spans="1:33" x14ac:dyDescent="0.25">
      <c r="A1272" t="str">
        <f>"1174613442"</f>
        <v>1174613442</v>
      </c>
      <c r="B1272" t="str">
        <f>"02845614"</f>
        <v>02845614</v>
      </c>
      <c r="C1272" t="s">
        <v>8183</v>
      </c>
      <c r="D1272" t="s">
        <v>2208</v>
      </c>
      <c r="E1272" t="s">
        <v>2209</v>
      </c>
      <c r="G1272" t="s">
        <v>396</v>
      </c>
      <c r="H1272" t="s">
        <v>397</v>
      </c>
      <c r="J1272" t="s">
        <v>398</v>
      </c>
      <c r="L1272" t="s">
        <v>71</v>
      </c>
      <c r="M1272" t="s">
        <v>72</v>
      </c>
      <c r="R1272" t="s">
        <v>2210</v>
      </c>
      <c r="W1272" t="s">
        <v>2209</v>
      </c>
      <c r="X1272" t="s">
        <v>2211</v>
      </c>
      <c r="Y1272" t="s">
        <v>247</v>
      </c>
      <c r="Z1272" t="s">
        <v>73</v>
      </c>
      <c r="AA1272" t="str">
        <f>"14225-1950"</f>
        <v>14225-1950</v>
      </c>
      <c r="AB1272" t="s">
        <v>74</v>
      </c>
      <c r="AC1272" t="s">
        <v>75</v>
      </c>
      <c r="AD1272" t="s">
        <v>72</v>
      </c>
      <c r="AE1272" t="s">
        <v>76</v>
      </c>
      <c r="AF1272" t="s">
        <v>4043</v>
      </c>
      <c r="AG1272" t="s">
        <v>77</v>
      </c>
    </row>
    <row r="1273" spans="1:33" x14ac:dyDescent="0.25">
      <c r="A1273" t="str">
        <f>"1962823187"</f>
        <v>1962823187</v>
      </c>
      <c r="B1273" t="str">
        <f>"03729408"</f>
        <v>03729408</v>
      </c>
      <c r="C1273" t="s">
        <v>8184</v>
      </c>
      <c r="D1273" t="s">
        <v>3335</v>
      </c>
      <c r="E1273" t="s">
        <v>3336</v>
      </c>
      <c r="G1273" t="s">
        <v>396</v>
      </c>
      <c r="H1273" t="s">
        <v>397</v>
      </c>
      <c r="J1273" t="s">
        <v>398</v>
      </c>
      <c r="L1273" t="s">
        <v>96</v>
      </c>
      <c r="M1273" t="s">
        <v>72</v>
      </c>
      <c r="R1273" t="s">
        <v>3337</v>
      </c>
      <c r="W1273" t="s">
        <v>3336</v>
      </c>
      <c r="X1273" t="s">
        <v>486</v>
      </c>
      <c r="Y1273" t="s">
        <v>311</v>
      </c>
      <c r="Z1273" t="s">
        <v>73</v>
      </c>
      <c r="AA1273" t="str">
        <f>"14569-1326"</f>
        <v>14569-1326</v>
      </c>
      <c r="AB1273" t="s">
        <v>105</v>
      </c>
      <c r="AC1273" t="s">
        <v>75</v>
      </c>
      <c r="AD1273" t="s">
        <v>72</v>
      </c>
      <c r="AE1273" t="s">
        <v>76</v>
      </c>
      <c r="AF1273" t="s">
        <v>4043</v>
      </c>
      <c r="AG1273" t="s">
        <v>77</v>
      </c>
    </row>
    <row r="1274" spans="1:33" x14ac:dyDescent="0.25">
      <c r="A1274" t="str">
        <f>"1609114727"</f>
        <v>1609114727</v>
      </c>
      <c r="C1274" t="s">
        <v>8185</v>
      </c>
      <c r="G1274" t="s">
        <v>396</v>
      </c>
      <c r="H1274" t="s">
        <v>397</v>
      </c>
      <c r="J1274" t="s">
        <v>398</v>
      </c>
      <c r="K1274" t="s">
        <v>89</v>
      </c>
      <c r="L1274" t="s">
        <v>92</v>
      </c>
      <c r="M1274" t="s">
        <v>72</v>
      </c>
      <c r="R1274" t="s">
        <v>1650</v>
      </c>
      <c r="S1274" t="s">
        <v>1651</v>
      </c>
      <c r="T1274" t="s">
        <v>365</v>
      </c>
      <c r="U1274" t="s">
        <v>73</v>
      </c>
      <c r="V1274" t="str">
        <f>"141509200"</f>
        <v>141509200</v>
      </c>
      <c r="AC1274" t="s">
        <v>75</v>
      </c>
      <c r="AD1274" t="s">
        <v>72</v>
      </c>
      <c r="AE1274" t="s">
        <v>93</v>
      </c>
      <c r="AF1274" t="s">
        <v>4043</v>
      </c>
      <c r="AG1274" t="s">
        <v>77</v>
      </c>
    </row>
    <row r="1275" spans="1:33" x14ac:dyDescent="0.25">
      <c r="A1275" t="str">
        <f>"1699924886"</f>
        <v>1699924886</v>
      </c>
      <c r="C1275" t="s">
        <v>8186</v>
      </c>
      <c r="G1275" t="s">
        <v>396</v>
      </c>
      <c r="H1275" t="s">
        <v>397</v>
      </c>
      <c r="J1275" t="s">
        <v>398</v>
      </c>
      <c r="K1275" t="s">
        <v>89</v>
      </c>
      <c r="L1275" t="s">
        <v>92</v>
      </c>
      <c r="M1275" t="s">
        <v>72</v>
      </c>
      <c r="R1275" t="s">
        <v>830</v>
      </c>
      <c r="S1275" t="s">
        <v>831</v>
      </c>
      <c r="T1275" t="s">
        <v>237</v>
      </c>
      <c r="U1275" t="s">
        <v>73</v>
      </c>
      <c r="V1275" t="str">
        <f>"142242635"</f>
        <v>142242635</v>
      </c>
      <c r="AC1275" t="s">
        <v>75</v>
      </c>
      <c r="AD1275" t="s">
        <v>72</v>
      </c>
      <c r="AE1275" t="s">
        <v>93</v>
      </c>
      <c r="AF1275" t="s">
        <v>4043</v>
      </c>
      <c r="AG1275" t="s">
        <v>77</v>
      </c>
    </row>
    <row r="1276" spans="1:33" x14ac:dyDescent="0.25">
      <c r="A1276" t="str">
        <f>"1255621140"</f>
        <v>1255621140</v>
      </c>
      <c r="C1276" t="s">
        <v>8187</v>
      </c>
      <c r="G1276" t="s">
        <v>396</v>
      </c>
      <c r="H1276" t="s">
        <v>397</v>
      </c>
      <c r="J1276" t="s">
        <v>398</v>
      </c>
      <c r="K1276" t="s">
        <v>89</v>
      </c>
      <c r="L1276" t="s">
        <v>92</v>
      </c>
      <c r="M1276" t="s">
        <v>72</v>
      </c>
      <c r="R1276" t="s">
        <v>1481</v>
      </c>
      <c r="S1276" t="s">
        <v>413</v>
      </c>
      <c r="T1276" t="s">
        <v>326</v>
      </c>
      <c r="U1276" t="s">
        <v>73</v>
      </c>
      <c r="V1276" t="str">
        <f>"141272600"</f>
        <v>141272600</v>
      </c>
      <c r="AC1276" t="s">
        <v>75</v>
      </c>
      <c r="AD1276" t="s">
        <v>72</v>
      </c>
      <c r="AE1276" t="s">
        <v>93</v>
      </c>
      <c r="AF1276" t="s">
        <v>4043</v>
      </c>
      <c r="AG1276" t="s">
        <v>77</v>
      </c>
    </row>
    <row r="1277" spans="1:33" x14ac:dyDescent="0.25">
      <c r="A1277" t="str">
        <f>"1770644411"</f>
        <v>1770644411</v>
      </c>
      <c r="C1277" t="s">
        <v>8188</v>
      </c>
      <c r="G1277" t="s">
        <v>396</v>
      </c>
      <c r="H1277" t="s">
        <v>397</v>
      </c>
      <c r="J1277" t="s">
        <v>398</v>
      </c>
      <c r="K1277" t="s">
        <v>89</v>
      </c>
      <c r="L1277" t="s">
        <v>92</v>
      </c>
      <c r="M1277" t="s">
        <v>72</v>
      </c>
      <c r="R1277" t="s">
        <v>785</v>
      </c>
      <c r="S1277" t="s">
        <v>786</v>
      </c>
      <c r="T1277" t="s">
        <v>117</v>
      </c>
      <c r="U1277" t="s">
        <v>73</v>
      </c>
      <c r="V1277" t="str">
        <f>"142091912"</f>
        <v>142091912</v>
      </c>
      <c r="AC1277" t="s">
        <v>75</v>
      </c>
      <c r="AD1277" t="s">
        <v>72</v>
      </c>
      <c r="AE1277" t="s">
        <v>93</v>
      </c>
      <c r="AF1277" t="s">
        <v>4043</v>
      </c>
      <c r="AG1277" t="s">
        <v>77</v>
      </c>
    </row>
    <row r="1278" spans="1:33" x14ac:dyDescent="0.25">
      <c r="A1278" t="str">
        <f>"1194886911"</f>
        <v>1194886911</v>
      </c>
      <c r="B1278" t="str">
        <f>"03597986"</f>
        <v>03597986</v>
      </c>
      <c r="C1278" t="s">
        <v>8189</v>
      </c>
      <c r="D1278" t="s">
        <v>3283</v>
      </c>
      <c r="E1278" t="s">
        <v>3284</v>
      </c>
      <c r="G1278" t="s">
        <v>396</v>
      </c>
      <c r="H1278" t="s">
        <v>397</v>
      </c>
      <c r="J1278" t="s">
        <v>398</v>
      </c>
      <c r="L1278" t="s">
        <v>71</v>
      </c>
      <c r="M1278" t="s">
        <v>72</v>
      </c>
      <c r="R1278" t="s">
        <v>3285</v>
      </c>
      <c r="W1278" t="s">
        <v>3286</v>
      </c>
      <c r="X1278" t="s">
        <v>2486</v>
      </c>
      <c r="Y1278" t="s">
        <v>479</v>
      </c>
      <c r="Z1278" t="s">
        <v>73</v>
      </c>
      <c r="AA1278" t="str">
        <f>"14141-1375"</f>
        <v>14141-1375</v>
      </c>
      <c r="AB1278" t="s">
        <v>104</v>
      </c>
      <c r="AC1278" t="s">
        <v>75</v>
      </c>
      <c r="AD1278" t="s">
        <v>72</v>
      </c>
      <c r="AE1278" t="s">
        <v>76</v>
      </c>
      <c r="AF1278" t="s">
        <v>4043</v>
      </c>
      <c r="AG1278" t="s">
        <v>77</v>
      </c>
    </row>
    <row r="1279" spans="1:33" x14ac:dyDescent="0.25">
      <c r="A1279" t="str">
        <f>"1093156358"</f>
        <v>1093156358</v>
      </c>
      <c r="B1279" t="str">
        <f>"03640195"</f>
        <v>03640195</v>
      </c>
      <c r="C1279" t="s">
        <v>8190</v>
      </c>
      <c r="D1279" t="s">
        <v>2544</v>
      </c>
      <c r="E1279" t="s">
        <v>2545</v>
      </c>
      <c r="G1279" t="s">
        <v>396</v>
      </c>
      <c r="H1279" t="s">
        <v>397</v>
      </c>
      <c r="J1279" t="s">
        <v>398</v>
      </c>
      <c r="L1279" t="s">
        <v>71</v>
      </c>
      <c r="M1279" t="s">
        <v>72</v>
      </c>
      <c r="R1279" t="s">
        <v>2546</v>
      </c>
      <c r="W1279" t="s">
        <v>2545</v>
      </c>
      <c r="X1279" t="s">
        <v>413</v>
      </c>
      <c r="Y1279" t="s">
        <v>326</v>
      </c>
      <c r="Z1279" t="s">
        <v>73</v>
      </c>
      <c r="AA1279" t="str">
        <f>"14127-2600"</f>
        <v>14127-2600</v>
      </c>
      <c r="AB1279" t="s">
        <v>105</v>
      </c>
      <c r="AC1279" t="s">
        <v>75</v>
      </c>
      <c r="AD1279" t="s">
        <v>72</v>
      </c>
      <c r="AE1279" t="s">
        <v>76</v>
      </c>
      <c r="AF1279" t="s">
        <v>4043</v>
      </c>
      <c r="AG1279" t="s">
        <v>77</v>
      </c>
    </row>
    <row r="1280" spans="1:33" x14ac:dyDescent="0.25">
      <c r="A1280" t="str">
        <f>"1659452175"</f>
        <v>1659452175</v>
      </c>
      <c r="B1280" t="str">
        <f>"00647498"</f>
        <v>00647498</v>
      </c>
      <c r="C1280" t="s">
        <v>8191</v>
      </c>
      <c r="D1280" t="s">
        <v>1957</v>
      </c>
      <c r="E1280" t="s">
        <v>1958</v>
      </c>
      <c r="G1280" t="s">
        <v>396</v>
      </c>
      <c r="H1280" t="s">
        <v>397</v>
      </c>
      <c r="J1280" t="s">
        <v>398</v>
      </c>
      <c r="L1280" t="s">
        <v>79</v>
      </c>
      <c r="M1280" t="s">
        <v>81</v>
      </c>
      <c r="R1280" t="s">
        <v>1959</v>
      </c>
      <c r="W1280" t="s">
        <v>1958</v>
      </c>
      <c r="X1280" t="s">
        <v>1960</v>
      </c>
      <c r="Y1280" t="s">
        <v>228</v>
      </c>
      <c r="Z1280" t="s">
        <v>73</v>
      </c>
      <c r="AA1280" t="str">
        <f>"14226-2004"</f>
        <v>14226-2004</v>
      </c>
      <c r="AB1280" t="s">
        <v>74</v>
      </c>
      <c r="AC1280" t="s">
        <v>75</v>
      </c>
      <c r="AD1280" t="s">
        <v>72</v>
      </c>
      <c r="AE1280" t="s">
        <v>76</v>
      </c>
      <c r="AF1280" t="s">
        <v>4043</v>
      </c>
      <c r="AG1280" t="s">
        <v>77</v>
      </c>
    </row>
    <row r="1281" spans="1:33" x14ac:dyDescent="0.25">
      <c r="A1281" t="str">
        <f>"1619098589"</f>
        <v>1619098589</v>
      </c>
      <c r="C1281" t="s">
        <v>8192</v>
      </c>
      <c r="G1281" t="s">
        <v>396</v>
      </c>
      <c r="H1281" t="s">
        <v>397</v>
      </c>
      <c r="J1281" t="s">
        <v>398</v>
      </c>
      <c r="K1281" t="s">
        <v>89</v>
      </c>
      <c r="L1281" t="s">
        <v>71</v>
      </c>
      <c r="M1281" t="s">
        <v>72</v>
      </c>
      <c r="R1281" t="s">
        <v>1583</v>
      </c>
      <c r="S1281" t="s">
        <v>680</v>
      </c>
      <c r="T1281" t="s">
        <v>117</v>
      </c>
      <c r="U1281" t="s">
        <v>73</v>
      </c>
      <c r="V1281" t="str">
        <f>"142102324"</f>
        <v>142102324</v>
      </c>
      <c r="AC1281" t="s">
        <v>75</v>
      </c>
      <c r="AD1281" t="s">
        <v>72</v>
      </c>
      <c r="AE1281" t="s">
        <v>93</v>
      </c>
      <c r="AF1281" t="s">
        <v>4043</v>
      </c>
      <c r="AG1281" t="s">
        <v>77</v>
      </c>
    </row>
    <row r="1282" spans="1:33" x14ac:dyDescent="0.25">
      <c r="A1282" t="str">
        <f>"1306171079"</f>
        <v>1306171079</v>
      </c>
      <c r="C1282" t="s">
        <v>8193</v>
      </c>
      <c r="G1282" t="s">
        <v>396</v>
      </c>
      <c r="H1282" t="s">
        <v>397</v>
      </c>
      <c r="J1282" t="s">
        <v>398</v>
      </c>
      <c r="K1282" t="s">
        <v>89</v>
      </c>
      <c r="L1282" t="s">
        <v>92</v>
      </c>
      <c r="M1282" t="s">
        <v>72</v>
      </c>
      <c r="R1282" t="s">
        <v>2490</v>
      </c>
      <c r="S1282" t="s">
        <v>1092</v>
      </c>
      <c r="T1282" t="s">
        <v>117</v>
      </c>
      <c r="U1282" t="s">
        <v>73</v>
      </c>
      <c r="V1282" t="str">
        <f>"142092111"</f>
        <v>142092111</v>
      </c>
      <c r="AC1282" t="s">
        <v>75</v>
      </c>
      <c r="AD1282" t="s">
        <v>72</v>
      </c>
      <c r="AE1282" t="s">
        <v>93</v>
      </c>
      <c r="AF1282" t="s">
        <v>4043</v>
      </c>
      <c r="AG1282" t="s">
        <v>77</v>
      </c>
    </row>
    <row r="1283" spans="1:33" x14ac:dyDescent="0.25">
      <c r="A1283" t="str">
        <f>"1003072976"</f>
        <v>1003072976</v>
      </c>
      <c r="C1283" t="s">
        <v>8194</v>
      </c>
      <c r="G1283" t="s">
        <v>396</v>
      </c>
      <c r="H1283" t="s">
        <v>397</v>
      </c>
      <c r="J1283" t="s">
        <v>398</v>
      </c>
      <c r="K1283" t="s">
        <v>89</v>
      </c>
      <c r="L1283" t="s">
        <v>92</v>
      </c>
      <c r="M1283" t="s">
        <v>72</v>
      </c>
      <c r="R1283" t="s">
        <v>2065</v>
      </c>
      <c r="S1283" t="s">
        <v>680</v>
      </c>
      <c r="T1283" t="s">
        <v>117</v>
      </c>
      <c r="U1283" t="s">
        <v>73</v>
      </c>
      <c r="V1283" t="str">
        <f>"142102324"</f>
        <v>142102324</v>
      </c>
      <c r="AC1283" t="s">
        <v>75</v>
      </c>
      <c r="AD1283" t="s">
        <v>72</v>
      </c>
      <c r="AE1283" t="s">
        <v>93</v>
      </c>
      <c r="AF1283" t="s">
        <v>4043</v>
      </c>
      <c r="AG1283" t="s">
        <v>77</v>
      </c>
    </row>
    <row r="1284" spans="1:33" x14ac:dyDescent="0.25">
      <c r="A1284" t="str">
        <f>"1184025090"</f>
        <v>1184025090</v>
      </c>
      <c r="C1284" t="s">
        <v>8195</v>
      </c>
      <c r="G1284" t="s">
        <v>396</v>
      </c>
      <c r="H1284" t="s">
        <v>397</v>
      </c>
      <c r="J1284" t="s">
        <v>398</v>
      </c>
      <c r="K1284" t="s">
        <v>89</v>
      </c>
      <c r="L1284" t="s">
        <v>71</v>
      </c>
      <c r="M1284" t="s">
        <v>72</v>
      </c>
      <c r="R1284" t="s">
        <v>2520</v>
      </c>
      <c r="S1284" t="s">
        <v>682</v>
      </c>
      <c r="T1284" t="s">
        <v>117</v>
      </c>
      <c r="U1284" t="s">
        <v>73</v>
      </c>
      <c r="V1284" t="str">
        <f>"142091912"</f>
        <v>142091912</v>
      </c>
      <c r="AC1284" t="s">
        <v>75</v>
      </c>
      <c r="AD1284" t="s">
        <v>72</v>
      </c>
      <c r="AE1284" t="s">
        <v>93</v>
      </c>
      <c r="AF1284" t="s">
        <v>4043</v>
      </c>
      <c r="AG1284" t="s">
        <v>77</v>
      </c>
    </row>
    <row r="1285" spans="1:33" x14ac:dyDescent="0.25">
      <c r="A1285" t="str">
        <f>"1770922189"</f>
        <v>1770922189</v>
      </c>
      <c r="C1285" t="s">
        <v>8196</v>
      </c>
      <c r="G1285" t="s">
        <v>396</v>
      </c>
      <c r="H1285" t="s">
        <v>397</v>
      </c>
      <c r="J1285" t="s">
        <v>398</v>
      </c>
      <c r="K1285" t="s">
        <v>89</v>
      </c>
      <c r="L1285" t="s">
        <v>71</v>
      </c>
      <c r="M1285" t="s">
        <v>72</v>
      </c>
      <c r="R1285" t="s">
        <v>679</v>
      </c>
      <c r="S1285" t="s">
        <v>680</v>
      </c>
      <c r="T1285" t="s">
        <v>117</v>
      </c>
      <c r="U1285" t="s">
        <v>73</v>
      </c>
      <c r="V1285" t="str">
        <f>"142102324"</f>
        <v>142102324</v>
      </c>
      <c r="AC1285" t="s">
        <v>75</v>
      </c>
      <c r="AD1285" t="s">
        <v>72</v>
      </c>
      <c r="AE1285" t="s">
        <v>93</v>
      </c>
      <c r="AF1285" t="s">
        <v>4043</v>
      </c>
      <c r="AG1285" t="s">
        <v>77</v>
      </c>
    </row>
    <row r="1286" spans="1:33" x14ac:dyDescent="0.25">
      <c r="A1286" t="str">
        <f>"1033409917"</f>
        <v>1033409917</v>
      </c>
      <c r="B1286" t="str">
        <f>"04045805"</f>
        <v>04045805</v>
      </c>
      <c r="C1286" t="s">
        <v>8197</v>
      </c>
      <c r="D1286" t="s">
        <v>2800</v>
      </c>
      <c r="E1286" t="s">
        <v>2801</v>
      </c>
      <c r="G1286" t="s">
        <v>396</v>
      </c>
      <c r="H1286" t="s">
        <v>397</v>
      </c>
      <c r="J1286" t="s">
        <v>398</v>
      </c>
      <c r="L1286" t="s">
        <v>71</v>
      </c>
      <c r="M1286" t="s">
        <v>72</v>
      </c>
      <c r="R1286" t="s">
        <v>2802</v>
      </c>
      <c r="W1286" t="s">
        <v>2801</v>
      </c>
      <c r="X1286" t="s">
        <v>2803</v>
      </c>
      <c r="Y1286" t="s">
        <v>117</v>
      </c>
      <c r="Z1286" t="s">
        <v>73</v>
      </c>
      <c r="AA1286" t="str">
        <f>"14209-1912"</f>
        <v>14209-1912</v>
      </c>
      <c r="AB1286" t="s">
        <v>104</v>
      </c>
      <c r="AC1286" t="s">
        <v>75</v>
      </c>
      <c r="AD1286" t="s">
        <v>72</v>
      </c>
      <c r="AE1286" t="s">
        <v>76</v>
      </c>
      <c r="AF1286" t="s">
        <v>4043</v>
      </c>
      <c r="AG1286" t="s">
        <v>77</v>
      </c>
    </row>
    <row r="1287" spans="1:33" x14ac:dyDescent="0.25">
      <c r="A1287" t="str">
        <f>"1992739569"</f>
        <v>1992739569</v>
      </c>
      <c r="B1287" t="str">
        <f>"03721193"</f>
        <v>03721193</v>
      </c>
      <c r="C1287" t="s">
        <v>8198</v>
      </c>
      <c r="D1287" t="s">
        <v>3485</v>
      </c>
      <c r="E1287" t="s">
        <v>3486</v>
      </c>
      <c r="G1287" t="s">
        <v>396</v>
      </c>
      <c r="H1287" t="s">
        <v>397</v>
      </c>
      <c r="J1287" t="s">
        <v>398</v>
      </c>
      <c r="L1287" t="s">
        <v>71</v>
      </c>
      <c r="M1287" t="s">
        <v>72</v>
      </c>
      <c r="R1287" t="s">
        <v>3487</v>
      </c>
      <c r="W1287" t="s">
        <v>3486</v>
      </c>
      <c r="X1287" t="s">
        <v>831</v>
      </c>
      <c r="Y1287" t="s">
        <v>237</v>
      </c>
      <c r="Z1287" t="s">
        <v>73</v>
      </c>
      <c r="AA1287" t="str">
        <f>"14224-2635"</f>
        <v>14224-2635</v>
      </c>
      <c r="AB1287" t="s">
        <v>104</v>
      </c>
      <c r="AC1287" t="s">
        <v>75</v>
      </c>
      <c r="AD1287" t="s">
        <v>72</v>
      </c>
      <c r="AE1287" t="s">
        <v>76</v>
      </c>
      <c r="AF1287" t="s">
        <v>4043</v>
      </c>
      <c r="AG1287" t="s">
        <v>77</v>
      </c>
    </row>
    <row r="1288" spans="1:33" x14ac:dyDescent="0.25">
      <c r="A1288" t="str">
        <f>"1588834949"</f>
        <v>1588834949</v>
      </c>
      <c r="C1288" t="s">
        <v>8199</v>
      </c>
      <c r="G1288" t="s">
        <v>396</v>
      </c>
      <c r="H1288" t="s">
        <v>397</v>
      </c>
      <c r="J1288" t="s">
        <v>398</v>
      </c>
      <c r="K1288" t="s">
        <v>89</v>
      </c>
      <c r="L1288" t="s">
        <v>92</v>
      </c>
      <c r="M1288" t="s">
        <v>72</v>
      </c>
      <c r="R1288" t="s">
        <v>1169</v>
      </c>
      <c r="S1288" t="s">
        <v>643</v>
      </c>
      <c r="T1288" t="s">
        <v>117</v>
      </c>
      <c r="U1288" t="s">
        <v>73</v>
      </c>
      <c r="V1288" t="str">
        <f>"142151139"</f>
        <v>142151139</v>
      </c>
      <c r="AC1288" t="s">
        <v>75</v>
      </c>
      <c r="AD1288" t="s">
        <v>72</v>
      </c>
      <c r="AE1288" t="s">
        <v>93</v>
      </c>
      <c r="AF1288" t="s">
        <v>4043</v>
      </c>
      <c r="AG1288" t="s">
        <v>77</v>
      </c>
    </row>
    <row r="1289" spans="1:33" x14ac:dyDescent="0.25">
      <c r="A1289" t="str">
        <f>"1538235882"</f>
        <v>1538235882</v>
      </c>
      <c r="C1289" t="s">
        <v>8200</v>
      </c>
      <c r="G1289" t="s">
        <v>396</v>
      </c>
      <c r="H1289" t="s">
        <v>397</v>
      </c>
      <c r="J1289" t="s">
        <v>398</v>
      </c>
      <c r="K1289" t="s">
        <v>89</v>
      </c>
      <c r="L1289" t="s">
        <v>92</v>
      </c>
      <c r="M1289" t="s">
        <v>72</v>
      </c>
      <c r="R1289" t="s">
        <v>1346</v>
      </c>
      <c r="S1289" t="s">
        <v>1347</v>
      </c>
      <c r="T1289" t="s">
        <v>117</v>
      </c>
      <c r="U1289" t="s">
        <v>73</v>
      </c>
      <c r="V1289" t="str">
        <f>"142090424"</f>
        <v>142090424</v>
      </c>
      <c r="AC1289" t="s">
        <v>75</v>
      </c>
      <c r="AD1289" t="s">
        <v>72</v>
      </c>
      <c r="AE1289" t="s">
        <v>93</v>
      </c>
      <c r="AF1289" t="s">
        <v>4043</v>
      </c>
      <c r="AG1289" t="s">
        <v>77</v>
      </c>
    </row>
    <row r="1290" spans="1:33" x14ac:dyDescent="0.25">
      <c r="A1290" t="str">
        <f>"1043647688"</f>
        <v>1043647688</v>
      </c>
      <c r="B1290" t="str">
        <f>"03716887"</f>
        <v>03716887</v>
      </c>
      <c r="C1290" t="s">
        <v>8201</v>
      </c>
      <c r="D1290" t="s">
        <v>3322</v>
      </c>
      <c r="E1290" t="s">
        <v>3323</v>
      </c>
      <c r="L1290" t="s">
        <v>80</v>
      </c>
      <c r="M1290" t="s">
        <v>72</v>
      </c>
      <c r="R1290" t="s">
        <v>3323</v>
      </c>
      <c r="W1290" t="s">
        <v>3324</v>
      </c>
      <c r="X1290" t="s">
        <v>3325</v>
      </c>
      <c r="Y1290" t="s">
        <v>242</v>
      </c>
      <c r="Z1290" t="s">
        <v>73</v>
      </c>
      <c r="AA1290" t="str">
        <f>"14701-6627"</f>
        <v>14701-6627</v>
      </c>
      <c r="AB1290" t="s">
        <v>74</v>
      </c>
      <c r="AC1290" t="s">
        <v>75</v>
      </c>
      <c r="AD1290" t="s">
        <v>72</v>
      </c>
      <c r="AE1290" t="s">
        <v>76</v>
      </c>
      <c r="AF1290" t="s">
        <v>4049</v>
      </c>
      <c r="AG1290" t="s">
        <v>77</v>
      </c>
    </row>
    <row r="1291" spans="1:33" x14ac:dyDescent="0.25">
      <c r="A1291" t="str">
        <f>"1174588024"</f>
        <v>1174588024</v>
      </c>
      <c r="B1291" t="str">
        <f>"02346261"</f>
        <v>02346261</v>
      </c>
      <c r="C1291" t="s">
        <v>8202</v>
      </c>
      <c r="D1291" t="s">
        <v>8203</v>
      </c>
      <c r="E1291" t="s">
        <v>8204</v>
      </c>
      <c r="L1291" t="s">
        <v>79</v>
      </c>
      <c r="M1291" t="s">
        <v>72</v>
      </c>
      <c r="R1291" t="s">
        <v>8205</v>
      </c>
      <c r="W1291" t="s">
        <v>8204</v>
      </c>
      <c r="X1291" t="s">
        <v>1550</v>
      </c>
      <c r="Y1291" t="s">
        <v>228</v>
      </c>
      <c r="Z1291" t="s">
        <v>73</v>
      </c>
      <c r="AA1291" t="str">
        <f>"14226-1727"</f>
        <v>14226-1727</v>
      </c>
      <c r="AB1291" t="s">
        <v>74</v>
      </c>
      <c r="AC1291" t="s">
        <v>75</v>
      </c>
      <c r="AD1291" t="s">
        <v>72</v>
      </c>
      <c r="AE1291" t="s">
        <v>76</v>
      </c>
      <c r="AF1291" t="s">
        <v>4043</v>
      </c>
      <c r="AG1291" t="s">
        <v>77</v>
      </c>
    </row>
    <row r="1292" spans="1:33" x14ac:dyDescent="0.25">
      <c r="A1292" t="str">
        <f>"1083055768"</f>
        <v>1083055768</v>
      </c>
      <c r="C1292" t="s">
        <v>8206</v>
      </c>
      <c r="K1292" t="s">
        <v>89</v>
      </c>
      <c r="L1292" t="s">
        <v>84</v>
      </c>
      <c r="M1292" t="s">
        <v>72</v>
      </c>
      <c r="R1292" t="s">
        <v>8207</v>
      </c>
      <c r="S1292" t="s">
        <v>1048</v>
      </c>
      <c r="T1292" t="s">
        <v>117</v>
      </c>
      <c r="U1292" t="s">
        <v>73</v>
      </c>
      <c r="V1292" t="str">
        <f>"142151433"</f>
        <v>142151433</v>
      </c>
      <c r="AC1292" t="s">
        <v>75</v>
      </c>
      <c r="AD1292" t="s">
        <v>72</v>
      </c>
      <c r="AE1292" t="s">
        <v>93</v>
      </c>
      <c r="AF1292" t="s">
        <v>3961</v>
      </c>
      <c r="AG1292" t="s">
        <v>77</v>
      </c>
    </row>
    <row r="1293" spans="1:33" x14ac:dyDescent="0.25">
      <c r="A1293" t="str">
        <f>"1124436779"</f>
        <v>1124436779</v>
      </c>
      <c r="C1293" t="s">
        <v>8208</v>
      </c>
      <c r="K1293" t="s">
        <v>89</v>
      </c>
      <c r="L1293" t="s">
        <v>84</v>
      </c>
      <c r="M1293" t="s">
        <v>72</v>
      </c>
      <c r="R1293" t="s">
        <v>559</v>
      </c>
      <c r="S1293" t="s">
        <v>554</v>
      </c>
      <c r="T1293" t="s">
        <v>111</v>
      </c>
      <c r="U1293" t="s">
        <v>73</v>
      </c>
      <c r="V1293" t="str">
        <f>"146264122"</f>
        <v>146264122</v>
      </c>
      <c r="AC1293" t="s">
        <v>75</v>
      </c>
      <c r="AD1293" t="s">
        <v>72</v>
      </c>
      <c r="AE1293" t="s">
        <v>93</v>
      </c>
      <c r="AF1293" t="s">
        <v>4043</v>
      </c>
      <c r="AG1293" t="s">
        <v>77</v>
      </c>
    </row>
    <row r="1294" spans="1:33" x14ac:dyDescent="0.25">
      <c r="A1294" t="str">
        <f>"1407129109"</f>
        <v>1407129109</v>
      </c>
      <c r="B1294" t="str">
        <f>"03447734"</f>
        <v>03447734</v>
      </c>
      <c r="C1294" t="s">
        <v>8209</v>
      </c>
      <c r="D1294" t="s">
        <v>8210</v>
      </c>
      <c r="E1294" t="s">
        <v>8211</v>
      </c>
      <c r="L1294" t="s">
        <v>79</v>
      </c>
      <c r="M1294" t="s">
        <v>72</v>
      </c>
      <c r="R1294" t="s">
        <v>8212</v>
      </c>
      <c r="W1294" t="s">
        <v>8213</v>
      </c>
      <c r="X1294" t="s">
        <v>8214</v>
      </c>
      <c r="Y1294" t="s">
        <v>1351</v>
      </c>
      <c r="Z1294" t="s">
        <v>73</v>
      </c>
      <c r="AA1294" t="str">
        <f>"14111-9550"</f>
        <v>14111-9550</v>
      </c>
      <c r="AB1294" t="s">
        <v>74</v>
      </c>
      <c r="AC1294" t="s">
        <v>75</v>
      </c>
      <c r="AD1294" t="s">
        <v>72</v>
      </c>
      <c r="AE1294" t="s">
        <v>76</v>
      </c>
      <c r="AF1294" t="s">
        <v>3961</v>
      </c>
      <c r="AG1294" t="s">
        <v>77</v>
      </c>
    </row>
    <row r="1295" spans="1:33" x14ac:dyDescent="0.25">
      <c r="A1295" t="str">
        <f>"1811977317"</f>
        <v>1811977317</v>
      </c>
      <c r="B1295" t="str">
        <f>"02979073"</f>
        <v>02979073</v>
      </c>
      <c r="C1295" t="s">
        <v>8215</v>
      </c>
      <c r="D1295" t="s">
        <v>8216</v>
      </c>
      <c r="E1295" t="s">
        <v>8217</v>
      </c>
      <c r="L1295" t="s">
        <v>79</v>
      </c>
      <c r="M1295" t="s">
        <v>72</v>
      </c>
      <c r="R1295" t="s">
        <v>8218</v>
      </c>
      <c r="W1295" t="s">
        <v>8219</v>
      </c>
      <c r="X1295" t="s">
        <v>502</v>
      </c>
      <c r="Y1295" t="s">
        <v>503</v>
      </c>
      <c r="Z1295" t="s">
        <v>73</v>
      </c>
      <c r="AA1295" t="str">
        <f>"14009-1113"</f>
        <v>14009-1113</v>
      </c>
      <c r="AB1295" t="s">
        <v>74</v>
      </c>
      <c r="AC1295" t="s">
        <v>75</v>
      </c>
      <c r="AD1295" t="s">
        <v>72</v>
      </c>
      <c r="AE1295" t="s">
        <v>76</v>
      </c>
      <c r="AF1295" t="s">
        <v>3974</v>
      </c>
      <c r="AG1295" t="s">
        <v>77</v>
      </c>
    </row>
    <row r="1296" spans="1:33" x14ac:dyDescent="0.25">
      <c r="A1296" t="str">
        <f>"1447298401"</f>
        <v>1447298401</v>
      </c>
      <c r="B1296" t="str">
        <f>"04001869"</f>
        <v>04001869</v>
      </c>
      <c r="C1296" t="s">
        <v>8220</v>
      </c>
      <c r="D1296" t="s">
        <v>8221</v>
      </c>
      <c r="E1296" t="s">
        <v>8222</v>
      </c>
      <c r="G1296" t="s">
        <v>8223</v>
      </c>
      <c r="H1296" t="s">
        <v>8224</v>
      </c>
      <c r="J1296" t="s">
        <v>8225</v>
      </c>
      <c r="L1296" t="s">
        <v>35</v>
      </c>
      <c r="M1296" t="s">
        <v>72</v>
      </c>
      <c r="R1296" t="s">
        <v>8226</v>
      </c>
      <c r="W1296" t="s">
        <v>8222</v>
      </c>
      <c r="X1296" t="s">
        <v>393</v>
      </c>
      <c r="Y1296" t="s">
        <v>228</v>
      </c>
      <c r="Z1296" t="s">
        <v>73</v>
      </c>
      <c r="AA1296" t="str">
        <f>"14226-1727"</f>
        <v>14226-1727</v>
      </c>
      <c r="AB1296" t="s">
        <v>112</v>
      </c>
      <c r="AC1296" t="s">
        <v>75</v>
      </c>
      <c r="AD1296" t="s">
        <v>72</v>
      </c>
      <c r="AE1296" t="s">
        <v>76</v>
      </c>
      <c r="AG1296" t="s">
        <v>77</v>
      </c>
    </row>
    <row r="1297" spans="1:33" x14ac:dyDescent="0.25">
      <c r="A1297" t="str">
        <f>"1609873520"</f>
        <v>1609873520</v>
      </c>
      <c r="B1297" t="str">
        <f>"03000846"</f>
        <v>03000846</v>
      </c>
      <c r="C1297" t="s">
        <v>8227</v>
      </c>
      <c r="D1297" t="s">
        <v>457</v>
      </c>
      <c r="E1297" t="s">
        <v>458</v>
      </c>
      <c r="G1297" t="s">
        <v>6157</v>
      </c>
      <c r="H1297" t="s">
        <v>6158</v>
      </c>
      <c r="J1297" t="s">
        <v>6159</v>
      </c>
      <c r="L1297" t="s">
        <v>125</v>
      </c>
      <c r="M1297" t="s">
        <v>81</v>
      </c>
      <c r="R1297" t="s">
        <v>459</v>
      </c>
      <c r="W1297" t="s">
        <v>458</v>
      </c>
      <c r="X1297" t="s">
        <v>231</v>
      </c>
      <c r="Y1297" t="s">
        <v>232</v>
      </c>
      <c r="Z1297" t="s">
        <v>73</v>
      </c>
      <c r="AA1297" t="str">
        <f>"14103-1063"</f>
        <v>14103-1063</v>
      </c>
      <c r="AB1297" t="s">
        <v>86</v>
      </c>
      <c r="AC1297" t="s">
        <v>75</v>
      </c>
      <c r="AD1297" t="s">
        <v>72</v>
      </c>
      <c r="AE1297" t="s">
        <v>76</v>
      </c>
      <c r="AF1297" t="s">
        <v>3986</v>
      </c>
      <c r="AG1297" t="s">
        <v>77</v>
      </c>
    </row>
    <row r="1298" spans="1:33" x14ac:dyDescent="0.25">
      <c r="A1298" t="str">
        <f>"1366573131"</f>
        <v>1366573131</v>
      </c>
      <c r="B1298" t="str">
        <f>"00310898"</f>
        <v>00310898</v>
      </c>
      <c r="C1298" t="s">
        <v>8227</v>
      </c>
      <c r="D1298" t="s">
        <v>457</v>
      </c>
      <c r="E1298" t="s">
        <v>458</v>
      </c>
      <c r="G1298" t="s">
        <v>6157</v>
      </c>
      <c r="H1298" t="s">
        <v>6158</v>
      </c>
      <c r="J1298" t="s">
        <v>6159</v>
      </c>
      <c r="L1298" t="s">
        <v>125</v>
      </c>
      <c r="M1298" t="s">
        <v>81</v>
      </c>
      <c r="R1298" t="s">
        <v>459</v>
      </c>
      <c r="W1298" t="s">
        <v>458</v>
      </c>
      <c r="X1298" t="s">
        <v>231</v>
      </c>
      <c r="Y1298" t="s">
        <v>232</v>
      </c>
      <c r="Z1298" t="s">
        <v>73</v>
      </c>
      <c r="AA1298" t="str">
        <f>"14103-1063"</f>
        <v>14103-1063</v>
      </c>
      <c r="AB1298" t="s">
        <v>86</v>
      </c>
      <c r="AC1298" t="s">
        <v>75</v>
      </c>
      <c r="AD1298" t="s">
        <v>72</v>
      </c>
      <c r="AE1298" t="s">
        <v>76</v>
      </c>
      <c r="AF1298" t="s">
        <v>3986</v>
      </c>
      <c r="AG1298" t="s">
        <v>77</v>
      </c>
    </row>
    <row r="1299" spans="1:33" x14ac:dyDescent="0.25">
      <c r="A1299" t="str">
        <f>"1104957638"</f>
        <v>1104957638</v>
      </c>
      <c r="C1299" t="s">
        <v>8228</v>
      </c>
      <c r="G1299" t="s">
        <v>396</v>
      </c>
      <c r="H1299" t="s">
        <v>397</v>
      </c>
      <c r="J1299" t="s">
        <v>398</v>
      </c>
      <c r="K1299" t="s">
        <v>89</v>
      </c>
      <c r="L1299" t="s">
        <v>92</v>
      </c>
      <c r="M1299" t="s">
        <v>72</v>
      </c>
      <c r="R1299" t="s">
        <v>2672</v>
      </c>
      <c r="S1299" t="s">
        <v>1870</v>
      </c>
      <c r="T1299" t="s">
        <v>117</v>
      </c>
      <c r="U1299" t="s">
        <v>73</v>
      </c>
      <c r="V1299" t="str">
        <f>"142091912"</f>
        <v>142091912</v>
      </c>
      <c r="AC1299" t="s">
        <v>75</v>
      </c>
      <c r="AD1299" t="s">
        <v>72</v>
      </c>
      <c r="AE1299" t="s">
        <v>93</v>
      </c>
      <c r="AF1299" t="s">
        <v>4043</v>
      </c>
      <c r="AG1299" t="s">
        <v>77</v>
      </c>
    </row>
    <row r="1300" spans="1:33" x14ac:dyDescent="0.25">
      <c r="A1300" t="str">
        <f>"1013323740"</f>
        <v>1013323740</v>
      </c>
      <c r="B1300" t="str">
        <f>"03973448"</f>
        <v>03973448</v>
      </c>
      <c r="C1300" t="s">
        <v>8229</v>
      </c>
      <c r="D1300" t="s">
        <v>8230</v>
      </c>
      <c r="E1300" t="s">
        <v>8231</v>
      </c>
      <c r="L1300" t="s">
        <v>71</v>
      </c>
      <c r="M1300" t="s">
        <v>72</v>
      </c>
      <c r="R1300" t="s">
        <v>8231</v>
      </c>
      <c r="W1300" t="s">
        <v>8232</v>
      </c>
      <c r="X1300" t="s">
        <v>393</v>
      </c>
      <c r="Y1300" t="s">
        <v>228</v>
      </c>
      <c r="Z1300" t="s">
        <v>73</v>
      </c>
      <c r="AA1300" t="str">
        <f>"14226-1727"</f>
        <v>14226-1727</v>
      </c>
      <c r="AB1300" t="s">
        <v>74</v>
      </c>
      <c r="AC1300" t="s">
        <v>75</v>
      </c>
      <c r="AD1300" t="s">
        <v>72</v>
      </c>
      <c r="AE1300" t="s">
        <v>76</v>
      </c>
      <c r="AF1300" t="s">
        <v>4043</v>
      </c>
      <c r="AG1300" t="s">
        <v>77</v>
      </c>
    </row>
    <row r="1301" spans="1:33" x14ac:dyDescent="0.25">
      <c r="A1301" t="str">
        <f>"1619944394"</f>
        <v>1619944394</v>
      </c>
      <c r="B1301" t="str">
        <f>"02430688"</f>
        <v>02430688</v>
      </c>
      <c r="C1301" t="s">
        <v>8233</v>
      </c>
      <c r="D1301" t="s">
        <v>8234</v>
      </c>
      <c r="E1301" t="s">
        <v>8235</v>
      </c>
      <c r="L1301" t="s">
        <v>71</v>
      </c>
      <c r="M1301" t="s">
        <v>72</v>
      </c>
      <c r="R1301" t="s">
        <v>8236</v>
      </c>
      <c r="W1301" t="s">
        <v>8235</v>
      </c>
      <c r="X1301" t="s">
        <v>8235</v>
      </c>
      <c r="Y1301" t="s">
        <v>436</v>
      </c>
      <c r="Z1301" t="s">
        <v>73</v>
      </c>
      <c r="AA1301" t="str">
        <f>"14217-1040"</f>
        <v>14217-1040</v>
      </c>
      <c r="AB1301" t="s">
        <v>74</v>
      </c>
      <c r="AC1301" t="s">
        <v>75</v>
      </c>
      <c r="AD1301" t="s">
        <v>72</v>
      </c>
      <c r="AE1301" t="s">
        <v>76</v>
      </c>
      <c r="AF1301" t="s">
        <v>4043</v>
      </c>
      <c r="AG1301" t="s">
        <v>77</v>
      </c>
    </row>
    <row r="1302" spans="1:33" x14ac:dyDescent="0.25">
      <c r="A1302" t="str">
        <f>"1255560942"</f>
        <v>1255560942</v>
      </c>
      <c r="B1302" t="str">
        <f>"03152352"</f>
        <v>03152352</v>
      </c>
      <c r="C1302" t="s">
        <v>8237</v>
      </c>
      <c r="D1302" t="s">
        <v>2023</v>
      </c>
      <c r="E1302" t="s">
        <v>2024</v>
      </c>
      <c r="L1302" t="s">
        <v>79</v>
      </c>
      <c r="M1302" t="s">
        <v>72</v>
      </c>
      <c r="R1302" t="s">
        <v>2025</v>
      </c>
      <c r="W1302" t="s">
        <v>2026</v>
      </c>
      <c r="X1302" t="s">
        <v>2027</v>
      </c>
      <c r="Y1302" t="s">
        <v>326</v>
      </c>
      <c r="Z1302" t="s">
        <v>73</v>
      </c>
      <c r="AA1302" t="str">
        <f>"14127-1749"</f>
        <v>14127-1749</v>
      </c>
      <c r="AB1302" t="s">
        <v>74</v>
      </c>
      <c r="AC1302" t="s">
        <v>75</v>
      </c>
      <c r="AD1302" t="s">
        <v>72</v>
      </c>
      <c r="AE1302" t="s">
        <v>76</v>
      </c>
      <c r="AF1302" t="s">
        <v>3974</v>
      </c>
      <c r="AG1302" t="s">
        <v>77</v>
      </c>
    </row>
    <row r="1303" spans="1:33" x14ac:dyDescent="0.25">
      <c r="A1303" t="str">
        <f>"1174666945"</f>
        <v>1174666945</v>
      </c>
      <c r="B1303" t="str">
        <f>"02504754"</f>
        <v>02504754</v>
      </c>
      <c r="C1303" t="s">
        <v>8238</v>
      </c>
      <c r="D1303" t="s">
        <v>8239</v>
      </c>
      <c r="E1303" t="s">
        <v>8240</v>
      </c>
      <c r="L1303" t="s">
        <v>79</v>
      </c>
      <c r="M1303" t="s">
        <v>72</v>
      </c>
      <c r="R1303" t="s">
        <v>8241</v>
      </c>
      <c r="W1303" t="s">
        <v>8240</v>
      </c>
      <c r="X1303" t="s">
        <v>374</v>
      </c>
      <c r="Y1303" t="s">
        <v>221</v>
      </c>
      <c r="Z1303" t="s">
        <v>73</v>
      </c>
      <c r="AA1303" t="str">
        <f>"14221-5760"</f>
        <v>14221-5760</v>
      </c>
      <c r="AB1303" t="s">
        <v>74</v>
      </c>
      <c r="AC1303" t="s">
        <v>75</v>
      </c>
      <c r="AD1303" t="s">
        <v>72</v>
      </c>
      <c r="AE1303" t="s">
        <v>76</v>
      </c>
      <c r="AF1303" t="s">
        <v>3961</v>
      </c>
      <c r="AG1303" t="s">
        <v>77</v>
      </c>
    </row>
    <row r="1304" spans="1:33" x14ac:dyDescent="0.25">
      <c r="A1304" t="str">
        <f>"1881604098"</f>
        <v>1881604098</v>
      </c>
      <c r="B1304" t="str">
        <f>"03258115"</f>
        <v>03258115</v>
      </c>
      <c r="C1304" t="s">
        <v>8242</v>
      </c>
      <c r="D1304" t="s">
        <v>8243</v>
      </c>
      <c r="E1304" t="s">
        <v>8244</v>
      </c>
      <c r="L1304" t="s">
        <v>79</v>
      </c>
      <c r="M1304" t="s">
        <v>72</v>
      </c>
      <c r="R1304" t="s">
        <v>8245</v>
      </c>
      <c r="W1304" t="s">
        <v>8246</v>
      </c>
      <c r="X1304" t="s">
        <v>3054</v>
      </c>
      <c r="Y1304" t="s">
        <v>1093</v>
      </c>
      <c r="Z1304" t="s">
        <v>73</v>
      </c>
      <c r="AA1304" t="str">
        <f>"14052-2540"</f>
        <v>14052-2540</v>
      </c>
      <c r="AB1304" t="s">
        <v>74</v>
      </c>
      <c r="AC1304" t="s">
        <v>75</v>
      </c>
      <c r="AD1304" t="s">
        <v>72</v>
      </c>
      <c r="AE1304" t="s">
        <v>76</v>
      </c>
      <c r="AF1304" t="s">
        <v>3961</v>
      </c>
      <c r="AG1304" t="s">
        <v>77</v>
      </c>
    </row>
    <row r="1305" spans="1:33" x14ac:dyDescent="0.25">
      <c r="A1305" t="str">
        <f>"1659797447"</f>
        <v>1659797447</v>
      </c>
      <c r="B1305" t="str">
        <f>"04582270"</f>
        <v>04582270</v>
      </c>
      <c r="C1305" t="s">
        <v>8247</v>
      </c>
      <c r="D1305" t="s">
        <v>8248</v>
      </c>
      <c r="E1305" t="s">
        <v>8249</v>
      </c>
      <c r="L1305" t="s">
        <v>71</v>
      </c>
      <c r="M1305" t="s">
        <v>72</v>
      </c>
      <c r="R1305" t="s">
        <v>8250</v>
      </c>
      <c r="W1305" t="s">
        <v>8249</v>
      </c>
      <c r="AB1305" t="s">
        <v>74</v>
      </c>
      <c r="AC1305" t="s">
        <v>75</v>
      </c>
      <c r="AD1305" t="s">
        <v>72</v>
      </c>
      <c r="AE1305" t="s">
        <v>76</v>
      </c>
      <c r="AF1305" t="s">
        <v>4043</v>
      </c>
      <c r="AG1305" t="s">
        <v>77</v>
      </c>
    </row>
    <row r="1306" spans="1:33" x14ac:dyDescent="0.25">
      <c r="A1306" t="str">
        <f>"1083844302"</f>
        <v>1083844302</v>
      </c>
      <c r="B1306" t="str">
        <f>"03191435"</f>
        <v>03191435</v>
      </c>
      <c r="C1306" t="s">
        <v>8251</v>
      </c>
      <c r="D1306" t="s">
        <v>3210</v>
      </c>
      <c r="E1306" t="s">
        <v>3211</v>
      </c>
      <c r="L1306" t="s">
        <v>79</v>
      </c>
      <c r="M1306" t="s">
        <v>72</v>
      </c>
      <c r="R1306" t="s">
        <v>3212</v>
      </c>
      <c r="W1306" t="s">
        <v>3213</v>
      </c>
      <c r="X1306" t="s">
        <v>219</v>
      </c>
      <c r="Y1306" t="s">
        <v>117</v>
      </c>
      <c r="Z1306" t="s">
        <v>73</v>
      </c>
      <c r="AA1306" t="str">
        <f>"14203-1149"</f>
        <v>14203-1149</v>
      </c>
      <c r="AB1306" t="s">
        <v>74</v>
      </c>
      <c r="AC1306" t="s">
        <v>75</v>
      </c>
      <c r="AD1306" t="s">
        <v>72</v>
      </c>
      <c r="AE1306" t="s">
        <v>76</v>
      </c>
      <c r="AF1306" t="s">
        <v>3974</v>
      </c>
      <c r="AG1306" t="s">
        <v>77</v>
      </c>
    </row>
    <row r="1307" spans="1:33" x14ac:dyDescent="0.25">
      <c r="A1307" t="str">
        <f>"1891882320"</f>
        <v>1891882320</v>
      </c>
      <c r="B1307" t="str">
        <f>"01271732"</f>
        <v>01271732</v>
      </c>
      <c r="C1307" t="s">
        <v>8252</v>
      </c>
      <c r="D1307" t="s">
        <v>8253</v>
      </c>
      <c r="E1307" t="s">
        <v>8254</v>
      </c>
      <c r="L1307" t="s">
        <v>80</v>
      </c>
      <c r="M1307" t="s">
        <v>72</v>
      </c>
      <c r="R1307" t="s">
        <v>8255</v>
      </c>
      <c r="W1307" t="s">
        <v>8254</v>
      </c>
      <c r="X1307" t="s">
        <v>285</v>
      </c>
      <c r="Y1307" t="s">
        <v>117</v>
      </c>
      <c r="Z1307" t="s">
        <v>73</v>
      </c>
      <c r="AA1307" t="str">
        <f>"14203-1126"</f>
        <v>14203-1126</v>
      </c>
      <c r="AB1307" t="s">
        <v>74</v>
      </c>
      <c r="AC1307" t="s">
        <v>75</v>
      </c>
      <c r="AD1307" t="s">
        <v>72</v>
      </c>
      <c r="AE1307" t="s">
        <v>76</v>
      </c>
      <c r="AF1307" t="s">
        <v>4431</v>
      </c>
      <c r="AG1307" t="s">
        <v>77</v>
      </c>
    </row>
    <row r="1308" spans="1:33" x14ac:dyDescent="0.25">
      <c r="A1308" t="str">
        <f>"1790925345"</f>
        <v>1790925345</v>
      </c>
      <c r="B1308" t="str">
        <f>"03319055"</f>
        <v>03319055</v>
      </c>
      <c r="C1308" t="s">
        <v>8256</v>
      </c>
      <c r="D1308" t="s">
        <v>382</v>
      </c>
      <c r="E1308" t="s">
        <v>383</v>
      </c>
      <c r="L1308" t="s">
        <v>79</v>
      </c>
      <c r="M1308" t="s">
        <v>72</v>
      </c>
      <c r="R1308" t="s">
        <v>384</v>
      </c>
      <c r="W1308" t="s">
        <v>383</v>
      </c>
      <c r="X1308" t="s">
        <v>385</v>
      </c>
      <c r="Y1308" t="s">
        <v>228</v>
      </c>
      <c r="Z1308" t="s">
        <v>73</v>
      </c>
      <c r="AA1308" t="str">
        <f>"14226-1738"</f>
        <v>14226-1738</v>
      </c>
      <c r="AB1308" t="s">
        <v>74</v>
      </c>
      <c r="AC1308" t="s">
        <v>75</v>
      </c>
      <c r="AD1308" t="s">
        <v>72</v>
      </c>
      <c r="AE1308" t="s">
        <v>76</v>
      </c>
      <c r="AF1308" t="s">
        <v>3974</v>
      </c>
      <c r="AG1308" t="s">
        <v>77</v>
      </c>
    </row>
    <row r="1309" spans="1:33" x14ac:dyDescent="0.25">
      <c r="A1309" t="str">
        <f>"1356393193"</f>
        <v>1356393193</v>
      </c>
      <c r="B1309" t="str">
        <f>"01964176"</f>
        <v>01964176</v>
      </c>
      <c r="C1309" t="s">
        <v>8257</v>
      </c>
      <c r="D1309" t="s">
        <v>8258</v>
      </c>
      <c r="E1309" t="s">
        <v>8259</v>
      </c>
      <c r="L1309" t="s">
        <v>71</v>
      </c>
      <c r="M1309" t="s">
        <v>72</v>
      </c>
      <c r="R1309" t="s">
        <v>8260</v>
      </c>
      <c r="W1309" t="s">
        <v>8259</v>
      </c>
      <c r="X1309" t="s">
        <v>1362</v>
      </c>
      <c r="Y1309" t="s">
        <v>240</v>
      </c>
      <c r="Z1309" t="s">
        <v>73</v>
      </c>
      <c r="AA1309" t="str">
        <f>"14094-5226"</f>
        <v>14094-5226</v>
      </c>
      <c r="AB1309" t="s">
        <v>74</v>
      </c>
      <c r="AC1309" t="s">
        <v>75</v>
      </c>
      <c r="AD1309" t="s">
        <v>72</v>
      </c>
      <c r="AE1309" t="s">
        <v>76</v>
      </c>
      <c r="AF1309" t="s">
        <v>3974</v>
      </c>
      <c r="AG1309" t="s">
        <v>77</v>
      </c>
    </row>
    <row r="1310" spans="1:33" x14ac:dyDescent="0.25">
      <c r="A1310" t="str">
        <f>"1841631389"</f>
        <v>1841631389</v>
      </c>
      <c r="B1310" t="str">
        <f>"04011634"</f>
        <v>04011634</v>
      </c>
      <c r="C1310" t="s">
        <v>8261</v>
      </c>
      <c r="D1310" t="s">
        <v>8262</v>
      </c>
      <c r="E1310" t="s">
        <v>8263</v>
      </c>
      <c r="L1310" t="s">
        <v>71</v>
      </c>
      <c r="M1310" t="s">
        <v>72</v>
      </c>
      <c r="R1310" t="s">
        <v>8264</v>
      </c>
      <c r="W1310" t="s">
        <v>8265</v>
      </c>
      <c r="X1310" t="s">
        <v>234</v>
      </c>
      <c r="Y1310" t="s">
        <v>117</v>
      </c>
      <c r="Z1310" t="s">
        <v>73</v>
      </c>
      <c r="AA1310" t="str">
        <f>"14220-2039"</f>
        <v>14220-2039</v>
      </c>
      <c r="AB1310" t="s">
        <v>74</v>
      </c>
      <c r="AC1310" t="s">
        <v>75</v>
      </c>
      <c r="AD1310" t="s">
        <v>72</v>
      </c>
      <c r="AE1310" t="s">
        <v>76</v>
      </c>
      <c r="AF1310" t="s">
        <v>3974</v>
      </c>
      <c r="AG1310" t="s">
        <v>77</v>
      </c>
    </row>
    <row r="1311" spans="1:33" x14ac:dyDescent="0.25">
      <c r="A1311" t="str">
        <f>"1891896296"</f>
        <v>1891896296</v>
      </c>
      <c r="B1311" t="str">
        <f>"02378572"</f>
        <v>02378572</v>
      </c>
      <c r="C1311" t="s">
        <v>8266</v>
      </c>
      <c r="D1311" t="s">
        <v>8267</v>
      </c>
      <c r="E1311" t="s">
        <v>8268</v>
      </c>
      <c r="L1311" t="s">
        <v>79</v>
      </c>
      <c r="M1311" t="s">
        <v>72</v>
      </c>
      <c r="R1311" t="s">
        <v>8269</v>
      </c>
      <c r="W1311" t="s">
        <v>8268</v>
      </c>
      <c r="X1311" t="s">
        <v>1713</v>
      </c>
      <c r="Y1311" t="s">
        <v>326</v>
      </c>
      <c r="Z1311" t="s">
        <v>73</v>
      </c>
      <c r="AA1311" t="str">
        <f>"14127-2604"</f>
        <v>14127-2604</v>
      </c>
      <c r="AB1311" t="s">
        <v>74</v>
      </c>
      <c r="AC1311" t="s">
        <v>75</v>
      </c>
      <c r="AD1311" t="s">
        <v>72</v>
      </c>
      <c r="AE1311" t="s">
        <v>76</v>
      </c>
      <c r="AF1311" t="s">
        <v>3974</v>
      </c>
      <c r="AG1311" t="s">
        <v>77</v>
      </c>
    </row>
    <row r="1312" spans="1:33" x14ac:dyDescent="0.25">
      <c r="A1312" t="str">
        <f>"1861628190"</f>
        <v>1861628190</v>
      </c>
      <c r="C1312" t="s">
        <v>8270</v>
      </c>
      <c r="K1312" t="s">
        <v>89</v>
      </c>
      <c r="L1312" t="s">
        <v>71</v>
      </c>
      <c r="M1312" t="s">
        <v>72</v>
      </c>
      <c r="R1312" t="s">
        <v>8271</v>
      </c>
      <c r="S1312" t="s">
        <v>1209</v>
      </c>
      <c r="T1312" t="s">
        <v>237</v>
      </c>
      <c r="U1312" t="s">
        <v>73</v>
      </c>
      <c r="V1312" t="str">
        <f>"142243444"</f>
        <v>142243444</v>
      </c>
      <c r="AC1312" t="s">
        <v>75</v>
      </c>
      <c r="AD1312" t="s">
        <v>72</v>
      </c>
      <c r="AE1312" t="s">
        <v>93</v>
      </c>
      <c r="AF1312" t="s">
        <v>3974</v>
      </c>
      <c r="AG1312" t="s">
        <v>77</v>
      </c>
    </row>
    <row r="1313" spans="1:33" x14ac:dyDescent="0.25">
      <c r="A1313" t="str">
        <f>"1740246735"</f>
        <v>1740246735</v>
      </c>
      <c r="B1313" t="str">
        <f>"01226122"</f>
        <v>01226122</v>
      </c>
      <c r="C1313" t="s">
        <v>8272</v>
      </c>
      <c r="D1313" t="s">
        <v>2452</v>
      </c>
      <c r="E1313" t="s">
        <v>2453</v>
      </c>
      <c r="G1313" t="s">
        <v>5609</v>
      </c>
      <c r="H1313" t="s">
        <v>628</v>
      </c>
      <c r="J1313" t="s">
        <v>5610</v>
      </c>
      <c r="L1313" t="s">
        <v>80</v>
      </c>
      <c r="M1313" t="s">
        <v>72</v>
      </c>
      <c r="R1313" t="s">
        <v>2454</v>
      </c>
      <c r="W1313" t="s">
        <v>2453</v>
      </c>
      <c r="X1313" t="s">
        <v>243</v>
      </c>
      <c r="Y1313" t="s">
        <v>117</v>
      </c>
      <c r="Z1313" t="s">
        <v>73</v>
      </c>
      <c r="AA1313" t="str">
        <f>"14203-1126"</f>
        <v>14203-1126</v>
      </c>
      <c r="AB1313" t="s">
        <v>74</v>
      </c>
      <c r="AC1313" t="s">
        <v>75</v>
      </c>
      <c r="AD1313" t="s">
        <v>72</v>
      </c>
      <c r="AE1313" t="s">
        <v>76</v>
      </c>
      <c r="AF1313" t="s">
        <v>3961</v>
      </c>
      <c r="AG1313" t="s">
        <v>77</v>
      </c>
    </row>
    <row r="1314" spans="1:33" x14ac:dyDescent="0.25">
      <c r="A1314" t="str">
        <f>"1659338580"</f>
        <v>1659338580</v>
      </c>
      <c r="B1314" t="str">
        <f>"00724841"</f>
        <v>00724841</v>
      </c>
      <c r="C1314" t="s">
        <v>8273</v>
      </c>
      <c r="D1314" t="s">
        <v>1769</v>
      </c>
      <c r="E1314" t="s">
        <v>1770</v>
      </c>
      <c r="G1314" t="s">
        <v>5164</v>
      </c>
      <c r="H1314" t="s">
        <v>5165</v>
      </c>
      <c r="J1314" t="s">
        <v>5166</v>
      </c>
      <c r="L1314" t="s">
        <v>79</v>
      </c>
      <c r="M1314" t="s">
        <v>72</v>
      </c>
      <c r="R1314" t="s">
        <v>1771</v>
      </c>
      <c r="W1314" t="s">
        <v>1770</v>
      </c>
      <c r="X1314" t="s">
        <v>1772</v>
      </c>
      <c r="Y1314" t="s">
        <v>117</v>
      </c>
      <c r="Z1314" t="s">
        <v>73</v>
      </c>
      <c r="AA1314" t="str">
        <f>"14215-3021"</f>
        <v>14215-3021</v>
      </c>
      <c r="AB1314" t="s">
        <v>74</v>
      </c>
      <c r="AC1314" t="s">
        <v>75</v>
      </c>
      <c r="AD1314" t="s">
        <v>72</v>
      </c>
      <c r="AE1314" t="s">
        <v>76</v>
      </c>
      <c r="AG1314" t="s">
        <v>77</v>
      </c>
    </row>
    <row r="1315" spans="1:33" x14ac:dyDescent="0.25">
      <c r="A1315" t="str">
        <f>"1184600975"</f>
        <v>1184600975</v>
      </c>
      <c r="B1315" t="str">
        <f>"01178638"</f>
        <v>01178638</v>
      </c>
      <c r="C1315" t="s">
        <v>8274</v>
      </c>
      <c r="D1315" t="s">
        <v>2928</v>
      </c>
      <c r="E1315" t="s">
        <v>2929</v>
      </c>
      <c r="G1315" t="s">
        <v>4014</v>
      </c>
      <c r="H1315" t="s">
        <v>750</v>
      </c>
      <c r="J1315" t="s">
        <v>4015</v>
      </c>
      <c r="L1315" t="s">
        <v>79</v>
      </c>
      <c r="M1315" t="s">
        <v>72</v>
      </c>
      <c r="R1315" t="s">
        <v>2930</v>
      </c>
      <c r="W1315" t="s">
        <v>2929</v>
      </c>
      <c r="X1315" t="s">
        <v>2931</v>
      </c>
      <c r="Y1315" t="s">
        <v>228</v>
      </c>
      <c r="Z1315" t="s">
        <v>73</v>
      </c>
      <c r="AA1315" t="str">
        <f>"14226-1039"</f>
        <v>14226-1039</v>
      </c>
      <c r="AB1315" t="s">
        <v>74</v>
      </c>
      <c r="AC1315" t="s">
        <v>75</v>
      </c>
      <c r="AD1315" t="s">
        <v>72</v>
      </c>
      <c r="AE1315" t="s">
        <v>76</v>
      </c>
      <c r="AF1315" t="s">
        <v>3974</v>
      </c>
      <c r="AG1315" t="s">
        <v>77</v>
      </c>
    </row>
    <row r="1316" spans="1:33" x14ac:dyDescent="0.25">
      <c r="A1316" t="str">
        <f>"1851345698"</f>
        <v>1851345698</v>
      </c>
      <c r="B1316" t="str">
        <f>"00653567"</f>
        <v>00653567</v>
      </c>
      <c r="C1316" t="s">
        <v>8275</v>
      </c>
      <c r="D1316" t="s">
        <v>8276</v>
      </c>
      <c r="E1316" t="s">
        <v>8277</v>
      </c>
      <c r="G1316" t="s">
        <v>3969</v>
      </c>
      <c r="H1316" t="s">
        <v>3970</v>
      </c>
      <c r="J1316" t="s">
        <v>3971</v>
      </c>
      <c r="L1316" t="s">
        <v>79</v>
      </c>
      <c r="M1316" t="s">
        <v>72</v>
      </c>
      <c r="R1316" t="s">
        <v>8278</v>
      </c>
      <c r="W1316" t="s">
        <v>8277</v>
      </c>
      <c r="X1316" t="s">
        <v>8279</v>
      </c>
      <c r="Y1316" t="s">
        <v>479</v>
      </c>
      <c r="Z1316" t="s">
        <v>73</v>
      </c>
      <c r="AA1316" t="str">
        <f>"14141"</f>
        <v>14141</v>
      </c>
      <c r="AB1316" t="s">
        <v>74</v>
      </c>
      <c r="AC1316" t="s">
        <v>75</v>
      </c>
      <c r="AD1316" t="s">
        <v>72</v>
      </c>
      <c r="AE1316" t="s">
        <v>76</v>
      </c>
      <c r="AF1316" t="s">
        <v>3974</v>
      </c>
      <c r="AG1316" t="s">
        <v>77</v>
      </c>
    </row>
    <row r="1317" spans="1:33" x14ac:dyDescent="0.25">
      <c r="A1317" t="str">
        <f>"1467420638"</f>
        <v>1467420638</v>
      </c>
      <c r="B1317" t="str">
        <f>"01575644"</f>
        <v>01575644</v>
      </c>
      <c r="C1317" t="s">
        <v>8280</v>
      </c>
      <c r="D1317" t="s">
        <v>871</v>
      </c>
      <c r="E1317" t="s">
        <v>872</v>
      </c>
      <c r="G1317" t="s">
        <v>8281</v>
      </c>
      <c r="H1317" t="s">
        <v>873</v>
      </c>
      <c r="J1317" t="s">
        <v>8282</v>
      </c>
      <c r="L1317" t="s">
        <v>71</v>
      </c>
      <c r="M1317" t="s">
        <v>72</v>
      </c>
      <c r="R1317" t="s">
        <v>874</v>
      </c>
      <c r="W1317" t="s">
        <v>872</v>
      </c>
      <c r="X1317" t="s">
        <v>301</v>
      </c>
      <c r="Y1317" t="s">
        <v>117</v>
      </c>
      <c r="Z1317" t="s">
        <v>73</v>
      </c>
      <c r="AA1317" t="str">
        <f>"14214-2648"</f>
        <v>14214-2648</v>
      </c>
      <c r="AB1317" t="s">
        <v>74</v>
      </c>
      <c r="AC1317" t="s">
        <v>75</v>
      </c>
      <c r="AD1317" t="s">
        <v>72</v>
      </c>
      <c r="AE1317" t="s">
        <v>76</v>
      </c>
      <c r="AF1317" t="s">
        <v>3974</v>
      </c>
      <c r="AG1317" t="s">
        <v>77</v>
      </c>
    </row>
    <row r="1318" spans="1:33" x14ac:dyDescent="0.25">
      <c r="A1318" t="str">
        <f>"1316005614"</f>
        <v>1316005614</v>
      </c>
      <c r="B1318" t="str">
        <f>"00670640"</f>
        <v>00670640</v>
      </c>
      <c r="C1318" t="s">
        <v>8283</v>
      </c>
      <c r="D1318" t="s">
        <v>2398</v>
      </c>
      <c r="E1318" t="s">
        <v>2399</v>
      </c>
      <c r="G1318" t="s">
        <v>8283</v>
      </c>
      <c r="H1318" t="s">
        <v>2164</v>
      </c>
      <c r="J1318" t="s">
        <v>8284</v>
      </c>
      <c r="L1318" t="s">
        <v>71</v>
      </c>
      <c r="M1318" t="s">
        <v>72</v>
      </c>
      <c r="R1318" t="s">
        <v>2400</v>
      </c>
      <c r="W1318" t="s">
        <v>2399</v>
      </c>
      <c r="X1318" t="s">
        <v>2167</v>
      </c>
      <c r="Y1318" t="s">
        <v>228</v>
      </c>
      <c r="Z1318" t="s">
        <v>73</v>
      </c>
      <c r="AA1318" t="str">
        <f>"14226-1039"</f>
        <v>14226-1039</v>
      </c>
      <c r="AB1318" t="s">
        <v>74</v>
      </c>
      <c r="AC1318" t="s">
        <v>75</v>
      </c>
      <c r="AD1318" t="s">
        <v>72</v>
      </c>
      <c r="AE1318" t="s">
        <v>76</v>
      </c>
      <c r="AF1318" t="s">
        <v>3974</v>
      </c>
      <c r="AG1318" t="s">
        <v>77</v>
      </c>
    </row>
    <row r="1319" spans="1:33" x14ac:dyDescent="0.25">
      <c r="A1319" t="str">
        <f>"1366466195"</f>
        <v>1366466195</v>
      </c>
      <c r="B1319" t="str">
        <f>"01821407"</f>
        <v>01821407</v>
      </c>
      <c r="C1319" t="s">
        <v>8285</v>
      </c>
      <c r="D1319" t="s">
        <v>8286</v>
      </c>
      <c r="E1319" t="s">
        <v>8287</v>
      </c>
      <c r="G1319" t="s">
        <v>6499</v>
      </c>
      <c r="H1319" t="s">
        <v>6500</v>
      </c>
      <c r="J1319" t="s">
        <v>6501</v>
      </c>
      <c r="L1319" t="s">
        <v>79</v>
      </c>
      <c r="M1319" t="s">
        <v>72</v>
      </c>
      <c r="R1319" t="s">
        <v>8288</v>
      </c>
      <c r="W1319" t="s">
        <v>8287</v>
      </c>
      <c r="X1319" t="s">
        <v>2798</v>
      </c>
      <c r="Y1319" t="s">
        <v>117</v>
      </c>
      <c r="Z1319" t="s">
        <v>73</v>
      </c>
      <c r="AA1319" t="str">
        <f>"14214-2648"</f>
        <v>14214-2648</v>
      </c>
      <c r="AB1319" t="s">
        <v>74</v>
      </c>
      <c r="AC1319" t="s">
        <v>75</v>
      </c>
      <c r="AD1319" t="s">
        <v>72</v>
      </c>
      <c r="AE1319" t="s">
        <v>76</v>
      </c>
      <c r="AF1319" t="s">
        <v>3974</v>
      </c>
      <c r="AG1319" t="s">
        <v>77</v>
      </c>
    </row>
    <row r="1320" spans="1:33" x14ac:dyDescent="0.25">
      <c r="A1320" t="str">
        <f>"1336146984"</f>
        <v>1336146984</v>
      </c>
      <c r="B1320" t="str">
        <f>"01504636"</f>
        <v>01504636</v>
      </c>
      <c r="C1320" t="s">
        <v>8289</v>
      </c>
      <c r="D1320" t="s">
        <v>1964</v>
      </c>
      <c r="E1320" t="s">
        <v>1965</v>
      </c>
      <c r="G1320" t="s">
        <v>4786</v>
      </c>
      <c r="H1320" t="s">
        <v>1728</v>
      </c>
      <c r="J1320" t="s">
        <v>4787</v>
      </c>
      <c r="L1320" t="s">
        <v>79</v>
      </c>
      <c r="M1320" t="s">
        <v>72</v>
      </c>
      <c r="R1320" t="s">
        <v>1966</v>
      </c>
      <c r="W1320" t="s">
        <v>1967</v>
      </c>
      <c r="X1320" t="s">
        <v>1968</v>
      </c>
      <c r="Y1320" t="s">
        <v>237</v>
      </c>
      <c r="Z1320" t="s">
        <v>73</v>
      </c>
      <c r="AA1320" t="str">
        <f>"14224-2655"</f>
        <v>14224-2655</v>
      </c>
      <c r="AB1320" t="s">
        <v>74</v>
      </c>
      <c r="AC1320" t="s">
        <v>75</v>
      </c>
      <c r="AD1320" t="s">
        <v>72</v>
      </c>
      <c r="AE1320" t="s">
        <v>76</v>
      </c>
      <c r="AF1320" t="s">
        <v>3974</v>
      </c>
      <c r="AG1320" t="s">
        <v>77</v>
      </c>
    </row>
    <row r="1321" spans="1:33" x14ac:dyDescent="0.25">
      <c r="A1321" t="str">
        <f>"1073535449"</f>
        <v>1073535449</v>
      </c>
      <c r="B1321" t="str">
        <f>"01843085"</f>
        <v>01843085</v>
      </c>
      <c r="C1321" t="s">
        <v>8290</v>
      </c>
      <c r="D1321" t="s">
        <v>321</v>
      </c>
      <c r="E1321" t="s">
        <v>322</v>
      </c>
      <c r="G1321" t="s">
        <v>7104</v>
      </c>
      <c r="H1321" t="s">
        <v>7105</v>
      </c>
      <c r="J1321" t="s">
        <v>7106</v>
      </c>
      <c r="L1321" t="s">
        <v>80</v>
      </c>
      <c r="M1321" t="s">
        <v>72</v>
      </c>
      <c r="R1321" t="s">
        <v>323</v>
      </c>
      <c r="W1321" t="s">
        <v>324</v>
      </c>
      <c r="X1321" t="s">
        <v>325</v>
      </c>
      <c r="Y1321" t="s">
        <v>326</v>
      </c>
      <c r="Z1321" t="s">
        <v>73</v>
      </c>
      <c r="AA1321" t="str">
        <f>"14127-1705"</f>
        <v>14127-1705</v>
      </c>
      <c r="AB1321" t="s">
        <v>74</v>
      </c>
      <c r="AC1321" t="s">
        <v>75</v>
      </c>
      <c r="AD1321" t="s">
        <v>72</v>
      </c>
      <c r="AE1321" t="s">
        <v>76</v>
      </c>
      <c r="AF1321" t="s">
        <v>3961</v>
      </c>
      <c r="AG1321" t="s">
        <v>77</v>
      </c>
    </row>
    <row r="1322" spans="1:33" x14ac:dyDescent="0.25">
      <c r="A1322" t="str">
        <f>"1629198700"</f>
        <v>1629198700</v>
      </c>
      <c r="B1322" t="str">
        <f>"02686359"</f>
        <v>02686359</v>
      </c>
      <c r="C1322" t="s">
        <v>8291</v>
      </c>
      <c r="D1322" t="s">
        <v>3062</v>
      </c>
      <c r="E1322" t="s">
        <v>3063</v>
      </c>
      <c r="G1322" t="s">
        <v>4856</v>
      </c>
      <c r="H1322" t="s">
        <v>1762</v>
      </c>
      <c r="J1322" t="s">
        <v>4857</v>
      </c>
      <c r="L1322" t="s">
        <v>71</v>
      </c>
      <c r="M1322" t="s">
        <v>72</v>
      </c>
      <c r="R1322" t="s">
        <v>3064</v>
      </c>
      <c r="W1322" t="s">
        <v>3063</v>
      </c>
      <c r="X1322" t="s">
        <v>1146</v>
      </c>
      <c r="Y1322" t="s">
        <v>436</v>
      </c>
      <c r="Z1322" t="s">
        <v>73</v>
      </c>
      <c r="AA1322" t="str">
        <f>"14217-1304"</f>
        <v>14217-1304</v>
      </c>
      <c r="AB1322" t="s">
        <v>74</v>
      </c>
      <c r="AC1322" t="s">
        <v>75</v>
      </c>
      <c r="AD1322" t="s">
        <v>72</v>
      </c>
      <c r="AE1322" t="s">
        <v>76</v>
      </c>
      <c r="AF1322" t="s">
        <v>3974</v>
      </c>
      <c r="AG1322" t="s">
        <v>77</v>
      </c>
    </row>
    <row r="1323" spans="1:33" x14ac:dyDescent="0.25">
      <c r="A1323" t="str">
        <f>"1851610950"</f>
        <v>1851610950</v>
      </c>
      <c r="B1323" t="str">
        <f>"03247270"</f>
        <v>03247270</v>
      </c>
      <c r="C1323" t="s">
        <v>8292</v>
      </c>
      <c r="D1323" t="s">
        <v>8293</v>
      </c>
      <c r="E1323" t="s">
        <v>8294</v>
      </c>
      <c r="G1323" t="s">
        <v>4797</v>
      </c>
      <c r="H1323" t="s">
        <v>4798</v>
      </c>
      <c r="I1323">
        <v>104</v>
      </c>
      <c r="J1323" t="s">
        <v>4799</v>
      </c>
      <c r="L1323" t="s">
        <v>80</v>
      </c>
      <c r="M1323" t="s">
        <v>81</v>
      </c>
      <c r="R1323" t="s">
        <v>8295</v>
      </c>
      <c r="W1323" t="s">
        <v>8294</v>
      </c>
      <c r="X1323" t="s">
        <v>6217</v>
      </c>
      <c r="Y1323" t="s">
        <v>408</v>
      </c>
      <c r="Z1323" t="s">
        <v>73</v>
      </c>
      <c r="AA1323" t="str">
        <f>"14757-0168"</f>
        <v>14757-0168</v>
      </c>
      <c r="AB1323" t="s">
        <v>74</v>
      </c>
      <c r="AC1323" t="s">
        <v>75</v>
      </c>
      <c r="AD1323" t="s">
        <v>72</v>
      </c>
      <c r="AE1323" t="s">
        <v>76</v>
      </c>
      <c r="AF1323" t="s">
        <v>4049</v>
      </c>
      <c r="AG1323" t="s">
        <v>77</v>
      </c>
    </row>
    <row r="1324" spans="1:33" x14ac:dyDescent="0.25">
      <c r="A1324" t="str">
        <f>"1386646230"</f>
        <v>1386646230</v>
      </c>
      <c r="B1324" t="str">
        <f>"01842933"</f>
        <v>01842933</v>
      </c>
      <c r="C1324" t="s">
        <v>8296</v>
      </c>
      <c r="D1324" t="s">
        <v>8297</v>
      </c>
      <c r="E1324" t="s">
        <v>8298</v>
      </c>
      <c r="G1324" t="s">
        <v>5304</v>
      </c>
      <c r="H1324" t="s">
        <v>5305</v>
      </c>
      <c r="J1324" t="s">
        <v>5306</v>
      </c>
      <c r="L1324" t="s">
        <v>71</v>
      </c>
      <c r="M1324" t="s">
        <v>72</v>
      </c>
      <c r="R1324" t="s">
        <v>8299</v>
      </c>
      <c r="W1324" t="s">
        <v>8298</v>
      </c>
      <c r="X1324" t="s">
        <v>1209</v>
      </c>
      <c r="Y1324" t="s">
        <v>237</v>
      </c>
      <c r="Z1324" t="s">
        <v>73</v>
      </c>
      <c r="AA1324" t="str">
        <f>"14224-3461"</f>
        <v>14224-3461</v>
      </c>
      <c r="AB1324" t="s">
        <v>74</v>
      </c>
      <c r="AC1324" t="s">
        <v>75</v>
      </c>
      <c r="AD1324" t="s">
        <v>72</v>
      </c>
      <c r="AE1324" t="s">
        <v>76</v>
      </c>
      <c r="AF1324" t="s">
        <v>3974</v>
      </c>
      <c r="AG1324" t="s">
        <v>77</v>
      </c>
    </row>
    <row r="1325" spans="1:33" x14ac:dyDescent="0.25">
      <c r="A1325" t="str">
        <f>"1215238258"</f>
        <v>1215238258</v>
      </c>
      <c r="B1325" t="str">
        <f>"03298299"</f>
        <v>03298299</v>
      </c>
      <c r="C1325" t="s">
        <v>8300</v>
      </c>
      <c r="D1325" t="s">
        <v>2521</v>
      </c>
      <c r="E1325" t="s">
        <v>2522</v>
      </c>
      <c r="G1325" t="s">
        <v>4714</v>
      </c>
      <c r="H1325" t="s">
        <v>4715</v>
      </c>
      <c r="J1325" t="s">
        <v>4716</v>
      </c>
      <c r="L1325" t="s">
        <v>80</v>
      </c>
      <c r="M1325" t="s">
        <v>81</v>
      </c>
      <c r="R1325" t="s">
        <v>2523</v>
      </c>
      <c r="W1325" t="s">
        <v>2522</v>
      </c>
      <c r="X1325" t="s">
        <v>2104</v>
      </c>
      <c r="Y1325" t="s">
        <v>209</v>
      </c>
      <c r="Z1325" t="s">
        <v>73</v>
      </c>
      <c r="AA1325" t="str">
        <f>"14304-3022"</f>
        <v>14304-3022</v>
      </c>
      <c r="AB1325" t="s">
        <v>74</v>
      </c>
      <c r="AC1325" t="s">
        <v>75</v>
      </c>
      <c r="AD1325" t="s">
        <v>72</v>
      </c>
      <c r="AE1325" t="s">
        <v>76</v>
      </c>
      <c r="AG1325" t="s">
        <v>77</v>
      </c>
    </row>
    <row r="1326" spans="1:33" x14ac:dyDescent="0.25">
      <c r="A1326" t="str">
        <f>"1467524801"</f>
        <v>1467524801</v>
      </c>
      <c r="B1326" t="str">
        <f>"01326943"</f>
        <v>01326943</v>
      </c>
      <c r="C1326" t="s">
        <v>426</v>
      </c>
      <c r="D1326" t="s">
        <v>427</v>
      </c>
      <c r="E1326" t="s">
        <v>428</v>
      </c>
      <c r="G1326" t="s">
        <v>429</v>
      </c>
      <c r="H1326" t="s">
        <v>430</v>
      </c>
      <c r="J1326" t="s">
        <v>431</v>
      </c>
      <c r="L1326" t="s">
        <v>10</v>
      </c>
      <c r="M1326" t="s">
        <v>81</v>
      </c>
      <c r="R1326" t="s">
        <v>432</v>
      </c>
      <c r="W1326" t="s">
        <v>428</v>
      </c>
      <c r="X1326" t="s">
        <v>433</v>
      </c>
      <c r="Y1326" t="s">
        <v>111</v>
      </c>
      <c r="Z1326" t="s">
        <v>73</v>
      </c>
      <c r="AA1326" t="str">
        <f>"14621-5403"</f>
        <v>14621-5403</v>
      </c>
      <c r="AB1326" t="s">
        <v>88</v>
      </c>
      <c r="AC1326" t="s">
        <v>75</v>
      </c>
      <c r="AD1326" t="s">
        <v>72</v>
      </c>
      <c r="AE1326" t="s">
        <v>76</v>
      </c>
      <c r="AF1326" t="s">
        <v>4078</v>
      </c>
      <c r="AG1326" t="s">
        <v>77</v>
      </c>
    </row>
    <row r="1327" spans="1:33" x14ac:dyDescent="0.25">
      <c r="A1327" t="str">
        <f>"1215961347"</f>
        <v>1215961347</v>
      </c>
      <c r="B1327" t="str">
        <f>"01033210"</f>
        <v>01033210</v>
      </c>
      <c r="C1327" t="s">
        <v>8301</v>
      </c>
      <c r="D1327" t="s">
        <v>8302</v>
      </c>
      <c r="E1327" t="s">
        <v>8303</v>
      </c>
      <c r="G1327" t="s">
        <v>5351</v>
      </c>
      <c r="H1327" t="s">
        <v>5352</v>
      </c>
      <c r="J1327" t="s">
        <v>5353</v>
      </c>
      <c r="L1327" t="s">
        <v>80</v>
      </c>
      <c r="M1327" t="s">
        <v>72</v>
      </c>
      <c r="R1327" t="s">
        <v>8304</v>
      </c>
      <c r="W1327" t="s">
        <v>8303</v>
      </c>
      <c r="X1327" t="s">
        <v>4801</v>
      </c>
      <c r="Y1327" t="s">
        <v>242</v>
      </c>
      <c r="Z1327" t="s">
        <v>73</v>
      </c>
      <c r="AA1327" t="str">
        <f>"14701-7087"</f>
        <v>14701-7087</v>
      </c>
      <c r="AB1327" t="s">
        <v>74</v>
      </c>
      <c r="AC1327" t="s">
        <v>75</v>
      </c>
      <c r="AD1327" t="s">
        <v>72</v>
      </c>
      <c r="AE1327" t="s">
        <v>76</v>
      </c>
      <c r="AF1327" t="s">
        <v>4049</v>
      </c>
      <c r="AG1327" t="s">
        <v>77</v>
      </c>
    </row>
    <row r="1328" spans="1:33" x14ac:dyDescent="0.25">
      <c r="A1328" t="str">
        <f>"1063498889"</f>
        <v>1063498889</v>
      </c>
      <c r="B1328" t="str">
        <f>"00354623"</f>
        <v>00354623</v>
      </c>
      <c r="C1328" t="s">
        <v>8305</v>
      </c>
      <c r="D1328" t="s">
        <v>8306</v>
      </c>
      <c r="E1328" t="s">
        <v>8307</v>
      </c>
      <c r="G1328" t="s">
        <v>8308</v>
      </c>
      <c r="H1328" t="s">
        <v>8309</v>
      </c>
      <c r="J1328" t="s">
        <v>8310</v>
      </c>
      <c r="L1328" t="s">
        <v>283</v>
      </c>
      <c r="M1328" t="s">
        <v>81</v>
      </c>
      <c r="R1328" t="s">
        <v>8311</v>
      </c>
      <c r="W1328" t="s">
        <v>8307</v>
      </c>
      <c r="X1328" t="s">
        <v>286</v>
      </c>
      <c r="Y1328" t="s">
        <v>242</v>
      </c>
      <c r="Z1328" t="s">
        <v>73</v>
      </c>
      <c r="AA1328" t="str">
        <f>"14701-7077"</f>
        <v>14701-7077</v>
      </c>
      <c r="AB1328" t="s">
        <v>86</v>
      </c>
      <c r="AC1328" t="s">
        <v>75</v>
      </c>
      <c r="AD1328" t="s">
        <v>72</v>
      </c>
      <c r="AE1328" t="s">
        <v>76</v>
      </c>
      <c r="AF1328" t="s">
        <v>3986</v>
      </c>
      <c r="AG1328" t="s">
        <v>77</v>
      </c>
    </row>
    <row r="1329" spans="1:33" x14ac:dyDescent="0.25">
      <c r="A1329" t="str">
        <f>"1083691729"</f>
        <v>1083691729</v>
      </c>
      <c r="B1329" t="str">
        <f>"03001741"</f>
        <v>03001741</v>
      </c>
      <c r="C1329" t="s">
        <v>8305</v>
      </c>
      <c r="D1329" t="s">
        <v>8306</v>
      </c>
      <c r="E1329" t="s">
        <v>8307</v>
      </c>
      <c r="G1329" t="s">
        <v>8308</v>
      </c>
      <c r="H1329" t="s">
        <v>8309</v>
      </c>
      <c r="J1329" t="s">
        <v>8310</v>
      </c>
      <c r="L1329" t="s">
        <v>283</v>
      </c>
      <c r="M1329" t="s">
        <v>81</v>
      </c>
      <c r="R1329" t="s">
        <v>8312</v>
      </c>
      <c r="W1329" t="s">
        <v>8307</v>
      </c>
      <c r="X1329" t="s">
        <v>286</v>
      </c>
      <c r="Y1329" t="s">
        <v>242</v>
      </c>
      <c r="Z1329" t="s">
        <v>73</v>
      </c>
      <c r="AA1329" t="str">
        <f>"14701-7077"</f>
        <v>14701-7077</v>
      </c>
      <c r="AB1329" t="s">
        <v>86</v>
      </c>
      <c r="AC1329" t="s">
        <v>75</v>
      </c>
      <c r="AD1329" t="s">
        <v>72</v>
      </c>
      <c r="AE1329" t="s">
        <v>76</v>
      </c>
      <c r="AF1329" t="s">
        <v>3986</v>
      </c>
      <c r="AG1329" t="s">
        <v>77</v>
      </c>
    </row>
    <row r="1330" spans="1:33" x14ac:dyDescent="0.25">
      <c r="A1330" t="str">
        <f>"1871570614"</f>
        <v>1871570614</v>
      </c>
      <c r="B1330" t="str">
        <f>"03001769"</f>
        <v>03001769</v>
      </c>
      <c r="C1330" t="s">
        <v>8305</v>
      </c>
      <c r="D1330" t="s">
        <v>8306</v>
      </c>
      <c r="E1330" t="s">
        <v>8307</v>
      </c>
      <c r="G1330" t="s">
        <v>8308</v>
      </c>
      <c r="H1330" t="s">
        <v>8309</v>
      </c>
      <c r="J1330" t="s">
        <v>8310</v>
      </c>
      <c r="L1330" t="s">
        <v>283</v>
      </c>
      <c r="M1330" t="s">
        <v>81</v>
      </c>
      <c r="R1330" t="s">
        <v>8311</v>
      </c>
      <c r="W1330" t="s">
        <v>8307</v>
      </c>
      <c r="X1330" t="s">
        <v>286</v>
      </c>
      <c r="Y1330" t="s">
        <v>242</v>
      </c>
      <c r="Z1330" t="s">
        <v>73</v>
      </c>
      <c r="AA1330" t="str">
        <f>"14701-7077"</f>
        <v>14701-7077</v>
      </c>
      <c r="AB1330" t="s">
        <v>86</v>
      </c>
      <c r="AC1330" t="s">
        <v>75</v>
      </c>
      <c r="AD1330" t="s">
        <v>72</v>
      </c>
      <c r="AE1330" t="s">
        <v>76</v>
      </c>
      <c r="AF1330" t="s">
        <v>3986</v>
      </c>
      <c r="AG1330" t="s">
        <v>77</v>
      </c>
    </row>
    <row r="1331" spans="1:33" x14ac:dyDescent="0.25">
      <c r="A1331" t="str">
        <f>"1770573222"</f>
        <v>1770573222</v>
      </c>
      <c r="B1331" t="str">
        <f>"03001750"</f>
        <v>03001750</v>
      </c>
      <c r="C1331" t="s">
        <v>8305</v>
      </c>
      <c r="D1331" t="s">
        <v>8306</v>
      </c>
      <c r="E1331" t="s">
        <v>8307</v>
      </c>
      <c r="G1331" t="s">
        <v>8308</v>
      </c>
      <c r="H1331" t="s">
        <v>8309</v>
      </c>
      <c r="J1331" t="s">
        <v>8310</v>
      </c>
      <c r="L1331" t="s">
        <v>283</v>
      </c>
      <c r="M1331" t="s">
        <v>81</v>
      </c>
      <c r="R1331" t="s">
        <v>8311</v>
      </c>
      <c r="W1331" t="s">
        <v>8313</v>
      </c>
      <c r="X1331" t="s">
        <v>286</v>
      </c>
      <c r="Y1331" t="s">
        <v>242</v>
      </c>
      <c r="Z1331" t="s">
        <v>73</v>
      </c>
      <c r="AA1331" t="str">
        <f>"14701-7077"</f>
        <v>14701-7077</v>
      </c>
      <c r="AB1331" t="s">
        <v>86</v>
      </c>
      <c r="AC1331" t="s">
        <v>75</v>
      </c>
      <c r="AD1331" t="s">
        <v>72</v>
      </c>
      <c r="AE1331" t="s">
        <v>76</v>
      </c>
      <c r="AF1331" t="s">
        <v>3986</v>
      </c>
      <c r="AG1331" t="s">
        <v>77</v>
      </c>
    </row>
    <row r="1332" spans="1:33" x14ac:dyDescent="0.25">
      <c r="A1332" t="str">
        <f>"1295033298"</f>
        <v>1295033298</v>
      </c>
      <c r="B1332" t="str">
        <f>"03352389"</f>
        <v>03352389</v>
      </c>
      <c r="C1332" t="s">
        <v>8305</v>
      </c>
      <c r="D1332" t="s">
        <v>8314</v>
      </c>
      <c r="E1332" t="s">
        <v>8313</v>
      </c>
      <c r="G1332" t="s">
        <v>8308</v>
      </c>
      <c r="H1332" t="s">
        <v>8315</v>
      </c>
      <c r="J1332" t="s">
        <v>8310</v>
      </c>
      <c r="L1332" t="s">
        <v>92</v>
      </c>
      <c r="M1332" t="s">
        <v>72</v>
      </c>
      <c r="R1332" t="s">
        <v>8311</v>
      </c>
      <c r="W1332" t="s">
        <v>8313</v>
      </c>
      <c r="X1332" t="s">
        <v>286</v>
      </c>
      <c r="Y1332" t="s">
        <v>242</v>
      </c>
      <c r="Z1332" t="s">
        <v>73</v>
      </c>
      <c r="AA1332" t="str">
        <f>"14701-7077"</f>
        <v>14701-7077</v>
      </c>
      <c r="AB1332" t="s">
        <v>119</v>
      </c>
      <c r="AC1332" t="s">
        <v>75</v>
      </c>
      <c r="AD1332" t="s">
        <v>72</v>
      </c>
      <c r="AE1332" t="s">
        <v>76</v>
      </c>
      <c r="AF1332" t="s">
        <v>3986</v>
      </c>
      <c r="AG1332" t="s">
        <v>77</v>
      </c>
    </row>
    <row r="1333" spans="1:33" x14ac:dyDescent="0.25">
      <c r="A1333" t="str">
        <f>"1306869417"</f>
        <v>1306869417</v>
      </c>
      <c r="B1333" t="str">
        <f>"02777448"</f>
        <v>02777448</v>
      </c>
      <c r="C1333" t="s">
        <v>8316</v>
      </c>
      <c r="D1333" t="s">
        <v>2638</v>
      </c>
      <c r="E1333" t="s">
        <v>2639</v>
      </c>
      <c r="G1333" t="s">
        <v>8316</v>
      </c>
      <c r="H1333" t="s">
        <v>4866</v>
      </c>
      <c r="J1333" t="s">
        <v>8317</v>
      </c>
      <c r="L1333" t="s">
        <v>79</v>
      </c>
      <c r="M1333" t="s">
        <v>72</v>
      </c>
      <c r="R1333" t="s">
        <v>2640</v>
      </c>
      <c r="W1333" t="s">
        <v>2640</v>
      </c>
      <c r="X1333" t="s">
        <v>1146</v>
      </c>
      <c r="Y1333" t="s">
        <v>436</v>
      </c>
      <c r="Z1333" t="s">
        <v>73</v>
      </c>
      <c r="AA1333" t="str">
        <f>"14217-1304"</f>
        <v>14217-1304</v>
      </c>
      <c r="AB1333" t="s">
        <v>74</v>
      </c>
      <c r="AC1333" t="s">
        <v>75</v>
      </c>
      <c r="AD1333" t="s">
        <v>72</v>
      </c>
      <c r="AE1333" t="s">
        <v>76</v>
      </c>
      <c r="AF1333" t="s">
        <v>3974</v>
      </c>
      <c r="AG1333" t="s">
        <v>77</v>
      </c>
    </row>
    <row r="1334" spans="1:33" x14ac:dyDescent="0.25">
      <c r="A1334" t="str">
        <f>"1720229180"</f>
        <v>1720229180</v>
      </c>
      <c r="B1334" t="str">
        <f>"03083070"</f>
        <v>03083070</v>
      </c>
      <c r="C1334" t="s">
        <v>8318</v>
      </c>
      <c r="D1334" t="s">
        <v>1896</v>
      </c>
      <c r="E1334" t="s">
        <v>1897</v>
      </c>
      <c r="G1334" t="s">
        <v>5085</v>
      </c>
      <c r="H1334" t="s">
        <v>789</v>
      </c>
      <c r="J1334" t="s">
        <v>4888</v>
      </c>
      <c r="L1334" t="s">
        <v>71</v>
      </c>
      <c r="M1334" t="s">
        <v>72</v>
      </c>
      <c r="R1334" t="s">
        <v>1898</v>
      </c>
      <c r="W1334" t="s">
        <v>1899</v>
      </c>
      <c r="X1334" t="s">
        <v>1900</v>
      </c>
      <c r="Y1334" t="s">
        <v>228</v>
      </c>
      <c r="Z1334" t="s">
        <v>73</v>
      </c>
      <c r="AA1334" t="str">
        <f>"14226-1727"</f>
        <v>14226-1727</v>
      </c>
      <c r="AB1334" t="s">
        <v>74</v>
      </c>
      <c r="AC1334" t="s">
        <v>75</v>
      </c>
      <c r="AD1334" t="s">
        <v>72</v>
      </c>
      <c r="AE1334" t="s">
        <v>76</v>
      </c>
      <c r="AF1334" t="s">
        <v>3974</v>
      </c>
      <c r="AG1334" t="s">
        <v>77</v>
      </c>
    </row>
    <row r="1335" spans="1:33" x14ac:dyDescent="0.25">
      <c r="A1335" t="str">
        <f>"1326004649"</f>
        <v>1326004649</v>
      </c>
      <c r="B1335" t="str">
        <f>"01902074"</f>
        <v>01902074</v>
      </c>
      <c r="C1335" t="s">
        <v>8319</v>
      </c>
      <c r="D1335" t="s">
        <v>8320</v>
      </c>
      <c r="E1335" t="s">
        <v>8321</v>
      </c>
      <c r="G1335" t="s">
        <v>6238</v>
      </c>
      <c r="H1335" t="s">
        <v>6239</v>
      </c>
      <c r="J1335" t="s">
        <v>6240</v>
      </c>
      <c r="L1335" t="s">
        <v>80</v>
      </c>
      <c r="M1335" t="s">
        <v>72</v>
      </c>
      <c r="R1335" t="s">
        <v>8322</v>
      </c>
      <c r="W1335" t="s">
        <v>8321</v>
      </c>
      <c r="X1335" t="s">
        <v>8323</v>
      </c>
      <c r="Y1335" t="s">
        <v>8324</v>
      </c>
      <c r="Z1335" t="s">
        <v>73</v>
      </c>
      <c r="AA1335" t="str">
        <f>"14037-9744"</f>
        <v>14037-9744</v>
      </c>
      <c r="AB1335" t="s">
        <v>74</v>
      </c>
      <c r="AC1335" t="s">
        <v>75</v>
      </c>
      <c r="AD1335" t="s">
        <v>72</v>
      </c>
      <c r="AE1335" t="s">
        <v>76</v>
      </c>
      <c r="AF1335" t="s">
        <v>3961</v>
      </c>
      <c r="AG1335" t="s">
        <v>77</v>
      </c>
    </row>
    <row r="1336" spans="1:33" x14ac:dyDescent="0.25">
      <c r="A1336" t="str">
        <f>"1134370786"</f>
        <v>1134370786</v>
      </c>
      <c r="B1336" t="str">
        <f>"03456860"</f>
        <v>03456860</v>
      </c>
      <c r="C1336" t="s">
        <v>8325</v>
      </c>
      <c r="D1336" t="s">
        <v>8326</v>
      </c>
      <c r="E1336" t="s">
        <v>8327</v>
      </c>
      <c r="G1336" t="s">
        <v>6164</v>
      </c>
      <c r="H1336" t="s">
        <v>8328</v>
      </c>
      <c r="J1336" t="s">
        <v>6166</v>
      </c>
      <c r="L1336" t="s">
        <v>71</v>
      </c>
      <c r="M1336" t="s">
        <v>72</v>
      </c>
      <c r="R1336" t="s">
        <v>8327</v>
      </c>
      <c r="W1336" t="s">
        <v>8329</v>
      </c>
      <c r="X1336" t="s">
        <v>234</v>
      </c>
      <c r="Y1336" t="s">
        <v>117</v>
      </c>
      <c r="Z1336" t="s">
        <v>73</v>
      </c>
      <c r="AA1336" t="str">
        <f>"14220-2039"</f>
        <v>14220-2039</v>
      </c>
      <c r="AB1336" t="s">
        <v>74</v>
      </c>
      <c r="AC1336" t="s">
        <v>75</v>
      </c>
      <c r="AD1336" t="s">
        <v>72</v>
      </c>
      <c r="AE1336" t="s">
        <v>76</v>
      </c>
      <c r="AF1336" t="s">
        <v>3974</v>
      </c>
      <c r="AG1336" t="s">
        <v>77</v>
      </c>
    </row>
    <row r="1337" spans="1:33" x14ac:dyDescent="0.25">
      <c r="A1337" t="str">
        <f>"1972593903"</f>
        <v>1972593903</v>
      </c>
      <c r="B1337" t="str">
        <f>"01795500"</f>
        <v>01795500</v>
      </c>
      <c r="C1337" t="s">
        <v>8330</v>
      </c>
      <c r="D1337" t="s">
        <v>1034</v>
      </c>
      <c r="E1337" t="s">
        <v>1035</v>
      </c>
      <c r="G1337" t="s">
        <v>8331</v>
      </c>
      <c r="H1337" t="s">
        <v>1036</v>
      </c>
      <c r="J1337" t="s">
        <v>8332</v>
      </c>
      <c r="L1337" t="s">
        <v>80</v>
      </c>
      <c r="M1337" t="s">
        <v>72</v>
      </c>
      <c r="R1337" t="s">
        <v>1037</v>
      </c>
      <c r="W1337" t="s">
        <v>1035</v>
      </c>
      <c r="X1337" t="s">
        <v>1038</v>
      </c>
      <c r="Y1337" t="s">
        <v>392</v>
      </c>
      <c r="Z1337" t="s">
        <v>73</v>
      </c>
      <c r="AA1337" t="str">
        <f>"14120-4631"</f>
        <v>14120-4631</v>
      </c>
      <c r="AB1337" t="s">
        <v>74</v>
      </c>
      <c r="AC1337" t="s">
        <v>75</v>
      </c>
      <c r="AD1337" t="s">
        <v>72</v>
      </c>
      <c r="AE1337" t="s">
        <v>76</v>
      </c>
      <c r="AF1337" t="s">
        <v>4431</v>
      </c>
      <c r="AG1337" t="s">
        <v>77</v>
      </c>
    </row>
    <row r="1338" spans="1:33" x14ac:dyDescent="0.25">
      <c r="A1338" t="str">
        <f>"1841249117"</f>
        <v>1841249117</v>
      </c>
      <c r="B1338" t="str">
        <f>"00686815"</f>
        <v>00686815</v>
      </c>
      <c r="C1338" t="s">
        <v>8333</v>
      </c>
      <c r="D1338" t="s">
        <v>8334</v>
      </c>
      <c r="E1338" t="s">
        <v>8335</v>
      </c>
      <c r="L1338" t="s">
        <v>79</v>
      </c>
      <c r="M1338" t="s">
        <v>72</v>
      </c>
      <c r="R1338" t="s">
        <v>8333</v>
      </c>
      <c r="W1338" t="s">
        <v>8335</v>
      </c>
      <c r="X1338" t="s">
        <v>8336</v>
      </c>
      <c r="Y1338" t="s">
        <v>242</v>
      </c>
      <c r="Z1338" t="s">
        <v>73</v>
      </c>
      <c r="AA1338" t="str">
        <f>"14701-7096"</f>
        <v>14701-7096</v>
      </c>
      <c r="AB1338" t="s">
        <v>74</v>
      </c>
      <c r="AC1338" t="s">
        <v>75</v>
      </c>
      <c r="AD1338" t="s">
        <v>72</v>
      </c>
      <c r="AE1338" t="s">
        <v>76</v>
      </c>
      <c r="AF1338" t="s">
        <v>7966</v>
      </c>
      <c r="AG1338" t="s">
        <v>77</v>
      </c>
    </row>
    <row r="1339" spans="1:33" x14ac:dyDescent="0.25">
      <c r="A1339" t="str">
        <f>"1306834296"</f>
        <v>1306834296</v>
      </c>
      <c r="B1339" t="str">
        <f>"02658331"</f>
        <v>02658331</v>
      </c>
      <c r="C1339" t="s">
        <v>8337</v>
      </c>
      <c r="D1339" t="s">
        <v>8338</v>
      </c>
      <c r="E1339" t="s">
        <v>8339</v>
      </c>
      <c r="L1339" t="s">
        <v>79</v>
      </c>
      <c r="M1339" t="s">
        <v>72</v>
      </c>
      <c r="R1339" t="s">
        <v>8337</v>
      </c>
      <c r="W1339" t="s">
        <v>8340</v>
      </c>
      <c r="X1339" t="s">
        <v>8341</v>
      </c>
      <c r="Y1339" t="s">
        <v>111</v>
      </c>
      <c r="Z1339" t="s">
        <v>73</v>
      </c>
      <c r="AA1339" t="str">
        <f>"14621-3039"</f>
        <v>14621-3039</v>
      </c>
      <c r="AB1339" t="s">
        <v>74</v>
      </c>
      <c r="AC1339" t="s">
        <v>75</v>
      </c>
      <c r="AD1339" t="s">
        <v>72</v>
      </c>
      <c r="AE1339" t="s">
        <v>76</v>
      </c>
      <c r="AF1339" t="s">
        <v>3974</v>
      </c>
      <c r="AG1339" t="s">
        <v>77</v>
      </c>
    </row>
    <row r="1340" spans="1:33" x14ac:dyDescent="0.25">
      <c r="A1340" t="str">
        <f>"1710912001"</f>
        <v>1710912001</v>
      </c>
      <c r="B1340" t="str">
        <f>"03280251"</f>
        <v>03280251</v>
      </c>
      <c r="C1340" t="s">
        <v>8342</v>
      </c>
      <c r="D1340" t="s">
        <v>8343</v>
      </c>
      <c r="E1340" t="s">
        <v>8344</v>
      </c>
      <c r="L1340" t="s">
        <v>71</v>
      </c>
      <c r="M1340" t="s">
        <v>72</v>
      </c>
      <c r="R1340" t="s">
        <v>8342</v>
      </c>
      <c r="W1340" t="s">
        <v>8345</v>
      </c>
      <c r="X1340" t="s">
        <v>286</v>
      </c>
      <c r="Y1340" t="s">
        <v>242</v>
      </c>
      <c r="Z1340" t="s">
        <v>73</v>
      </c>
      <c r="AA1340" t="str">
        <f>"14701-7077"</f>
        <v>14701-7077</v>
      </c>
      <c r="AB1340" t="s">
        <v>74</v>
      </c>
      <c r="AC1340" t="s">
        <v>75</v>
      </c>
      <c r="AD1340" t="s">
        <v>72</v>
      </c>
      <c r="AE1340" t="s">
        <v>76</v>
      </c>
      <c r="AF1340" t="s">
        <v>7966</v>
      </c>
      <c r="AG1340" t="s">
        <v>77</v>
      </c>
    </row>
    <row r="1341" spans="1:33" x14ac:dyDescent="0.25">
      <c r="A1341" t="str">
        <f>"1780899567"</f>
        <v>1780899567</v>
      </c>
      <c r="B1341" t="str">
        <f>"03065125"</f>
        <v>03065125</v>
      </c>
      <c r="C1341" t="s">
        <v>8346</v>
      </c>
      <c r="D1341" t="s">
        <v>8347</v>
      </c>
      <c r="E1341" t="s">
        <v>8348</v>
      </c>
      <c r="H1341" t="s">
        <v>659</v>
      </c>
      <c r="L1341" t="s">
        <v>79</v>
      </c>
      <c r="M1341" t="s">
        <v>72</v>
      </c>
      <c r="R1341" t="s">
        <v>8346</v>
      </c>
      <c r="W1341" t="s">
        <v>8349</v>
      </c>
      <c r="X1341" t="s">
        <v>286</v>
      </c>
      <c r="Y1341" t="s">
        <v>242</v>
      </c>
      <c r="Z1341" t="s">
        <v>73</v>
      </c>
      <c r="AA1341" t="str">
        <f>"14701-7077"</f>
        <v>14701-7077</v>
      </c>
      <c r="AB1341" t="s">
        <v>74</v>
      </c>
      <c r="AC1341" t="s">
        <v>75</v>
      </c>
      <c r="AD1341" t="s">
        <v>72</v>
      </c>
      <c r="AE1341" t="s">
        <v>76</v>
      </c>
      <c r="AF1341" t="s">
        <v>7966</v>
      </c>
      <c r="AG1341" t="s">
        <v>77</v>
      </c>
    </row>
    <row r="1342" spans="1:33" x14ac:dyDescent="0.25">
      <c r="A1342" t="str">
        <f>"1366623936"</f>
        <v>1366623936</v>
      </c>
      <c r="B1342" t="str">
        <f>"02960570"</f>
        <v>02960570</v>
      </c>
      <c r="C1342" t="s">
        <v>8350</v>
      </c>
      <c r="D1342" t="s">
        <v>8351</v>
      </c>
      <c r="E1342" t="s">
        <v>8352</v>
      </c>
      <c r="H1342" t="s">
        <v>8353</v>
      </c>
      <c r="L1342" t="s">
        <v>79</v>
      </c>
      <c r="M1342" t="s">
        <v>72</v>
      </c>
      <c r="R1342" t="s">
        <v>8350</v>
      </c>
      <c r="W1342" t="s">
        <v>8354</v>
      </c>
      <c r="X1342" t="s">
        <v>1535</v>
      </c>
      <c r="Y1342" t="s">
        <v>206</v>
      </c>
      <c r="Z1342" t="s">
        <v>73</v>
      </c>
      <c r="AA1342" t="str">
        <f>"14048-2237"</f>
        <v>14048-2237</v>
      </c>
      <c r="AB1342" t="s">
        <v>74</v>
      </c>
      <c r="AC1342" t="s">
        <v>75</v>
      </c>
      <c r="AD1342" t="s">
        <v>72</v>
      </c>
      <c r="AE1342" t="s">
        <v>76</v>
      </c>
      <c r="AF1342" t="s">
        <v>7966</v>
      </c>
      <c r="AG1342" t="s">
        <v>77</v>
      </c>
    </row>
    <row r="1343" spans="1:33" x14ac:dyDescent="0.25">
      <c r="B1343" t="str">
        <f>"02699136"</f>
        <v>02699136</v>
      </c>
      <c r="C1343" t="s">
        <v>8355</v>
      </c>
      <c r="D1343" t="s">
        <v>2263</v>
      </c>
      <c r="E1343" t="s">
        <v>2262</v>
      </c>
      <c r="F1343">
        <v>160769044</v>
      </c>
      <c r="G1343" t="s">
        <v>7760</v>
      </c>
      <c r="H1343" t="s">
        <v>3378</v>
      </c>
      <c r="J1343" t="s">
        <v>7761</v>
      </c>
      <c r="L1343" t="s">
        <v>35</v>
      </c>
      <c r="M1343" t="s">
        <v>81</v>
      </c>
      <c r="W1343" t="s">
        <v>2262</v>
      </c>
      <c r="X1343" t="s">
        <v>103</v>
      </c>
      <c r="Y1343" t="s">
        <v>117</v>
      </c>
      <c r="Z1343" t="s">
        <v>73</v>
      </c>
      <c r="AA1343" t="str">
        <f>"14214"</f>
        <v>14214</v>
      </c>
      <c r="AB1343" t="s">
        <v>88</v>
      </c>
      <c r="AC1343" t="s">
        <v>75</v>
      </c>
      <c r="AD1343" t="s">
        <v>72</v>
      </c>
      <c r="AE1343" t="s">
        <v>76</v>
      </c>
      <c r="AF1343" t="s">
        <v>4059</v>
      </c>
      <c r="AG1343" t="s">
        <v>77</v>
      </c>
    </row>
    <row r="1344" spans="1:33" x14ac:dyDescent="0.25">
      <c r="B1344" t="str">
        <f>"02011961"</f>
        <v>02011961</v>
      </c>
      <c r="C1344" t="s">
        <v>8356</v>
      </c>
      <c r="D1344" t="s">
        <v>865</v>
      </c>
      <c r="E1344" t="s">
        <v>864</v>
      </c>
      <c r="F1344">
        <v>160769044</v>
      </c>
      <c r="G1344" t="s">
        <v>7760</v>
      </c>
      <c r="H1344" t="s">
        <v>3378</v>
      </c>
      <c r="J1344" t="s">
        <v>7761</v>
      </c>
      <c r="L1344" t="s">
        <v>35</v>
      </c>
      <c r="M1344" t="s">
        <v>81</v>
      </c>
      <c r="W1344" t="s">
        <v>864</v>
      </c>
      <c r="X1344" t="s">
        <v>866</v>
      </c>
      <c r="Y1344" t="s">
        <v>117</v>
      </c>
      <c r="Z1344" t="s">
        <v>73</v>
      </c>
      <c r="AA1344" t="str">
        <f>"14203-2233"</f>
        <v>14203-2233</v>
      </c>
      <c r="AB1344" t="s">
        <v>88</v>
      </c>
      <c r="AC1344" t="s">
        <v>75</v>
      </c>
      <c r="AD1344" t="s">
        <v>72</v>
      </c>
      <c r="AE1344" t="s">
        <v>76</v>
      </c>
      <c r="AF1344" t="s">
        <v>4059</v>
      </c>
      <c r="AG1344" t="s">
        <v>77</v>
      </c>
    </row>
    <row r="1345" spans="1:33" x14ac:dyDescent="0.25">
      <c r="B1345" t="str">
        <f>"01998618"</f>
        <v>01998618</v>
      </c>
      <c r="C1345" t="s">
        <v>8357</v>
      </c>
      <c r="D1345" t="s">
        <v>853</v>
      </c>
      <c r="E1345" t="s">
        <v>852</v>
      </c>
      <c r="F1345">
        <v>160769044</v>
      </c>
      <c r="G1345" t="s">
        <v>7760</v>
      </c>
      <c r="H1345" t="s">
        <v>3378</v>
      </c>
      <c r="J1345" t="s">
        <v>7761</v>
      </c>
      <c r="L1345" t="s">
        <v>33</v>
      </c>
      <c r="M1345" t="s">
        <v>72</v>
      </c>
      <c r="W1345" t="s">
        <v>854</v>
      </c>
      <c r="X1345" t="s">
        <v>855</v>
      </c>
      <c r="Y1345" t="s">
        <v>117</v>
      </c>
      <c r="Z1345" t="s">
        <v>73</v>
      </c>
      <c r="AA1345" t="str">
        <f>"14214-2015"</f>
        <v>14214-2015</v>
      </c>
      <c r="AB1345" t="s">
        <v>88</v>
      </c>
      <c r="AC1345" t="s">
        <v>75</v>
      </c>
      <c r="AD1345" t="s">
        <v>72</v>
      </c>
      <c r="AE1345" t="s">
        <v>76</v>
      </c>
      <c r="AF1345" t="s">
        <v>4059</v>
      </c>
      <c r="AG1345" t="s">
        <v>77</v>
      </c>
    </row>
    <row r="1346" spans="1:33" x14ac:dyDescent="0.25">
      <c r="B1346" t="str">
        <f>"02246555"</f>
        <v>02246555</v>
      </c>
      <c r="C1346" t="s">
        <v>8358</v>
      </c>
      <c r="D1346" t="s">
        <v>2872</v>
      </c>
      <c r="E1346" t="s">
        <v>2871</v>
      </c>
      <c r="F1346">
        <v>160769044</v>
      </c>
      <c r="G1346" t="s">
        <v>7760</v>
      </c>
      <c r="H1346" t="s">
        <v>3378</v>
      </c>
      <c r="J1346" t="s">
        <v>7761</v>
      </c>
      <c r="L1346" t="s">
        <v>35</v>
      </c>
      <c r="M1346" t="s">
        <v>81</v>
      </c>
      <c r="W1346" t="s">
        <v>2871</v>
      </c>
      <c r="X1346" t="s">
        <v>101</v>
      </c>
      <c r="Y1346" t="s">
        <v>117</v>
      </c>
      <c r="Z1346" t="s">
        <v>73</v>
      </c>
      <c r="AA1346" t="str">
        <f>"14214-2015"</f>
        <v>14214-2015</v>
      </c>
      <c r="AB1346" t="s">
        <v>88</v>
      </c>
      <c r="AC1346" t="s">
        <v>75</v>
      </c>
      <c r="AD1346" t="s">
        <v>72</v>
      </c>
      <c r="AE1346" t="s">
        <v>76</v>
      </c>
      <c r="AF1346" t="s">
        <v>4059</v>
      </c>
      <c r="AG1346" t="s">
        <v>77</v>
      </c>
    </row>
    <row r="1347" spans="1:33" x14ac:dyDescent="0.25">
      <c r="B1347" t="str">
        <f>"02169533"</f>
        <v>02169533</v>
      </c>
      <c r="C1347" t="s">
        <v>8359</v>
      </c>
      <c r="D1347" t="s">
        <v>868</v>
      </c>
      <c r="E1347" t="s">
        <v>867</v>
      </c>
      <c r="F1347">
        <v>160769044</v>
      </c>
      <c r="G1347" t="s">
        <v>7760</v>
      </c>
      <c r="H1347" t="s">
        <v>3378</v>
      </c>
      <c r="J1347" t="s">
        <v>7761</v>
      </c>
      <c r="L1347" t="s">
        <v>35</v>
      </c>
      <c r="M1347" t="s">
        <v>81</v>
      </c>
      <c r="W1347" t="s">
        <v>869</v>
      </c>
      <c r="X1347" t="s">
        <v>870</v>
      </c>
      <c r="Y1347" t="s">
        <v>117</v>
      </c>
      <c r="Z1347" t="s">
        <v>73</v>
      </c>
      <c r="AA1347" t="str">
        <f>"14203-2233"</f>
        <v>14203-2233</v>
      </c>
      <c r="AB1347" t="s">
        <v>88</v>
      </c>
      <c r="AC1347" t="s">
        <v>75</v>
      </c>
      <c r="AD1347" t="s">
        <v>72</v>
      </c>
      <c r="AE1347" t="s">
        <v>76</v>
      </c>
      <c r="AF1347" t="s">
        <v>4059</v>
      </c>
      <c r="AG1347" t="s">
        <v>77</v>
      </c>
    </row>
    <row r="1348" spans="1:33" x14ac:dyDescent="0.25">
      <c r="B1348" t="str">
        <f>"02246546"</f>
        <v>02246546</v>
      </c>
      <c r="C1348" t="s">
        <v>8360</v>
      </c>
      <c r="D1348" t="s">
        <v>2870</v>
      </c>
      <c r="E1348" t="s">
        <v>2869</v>
      </c>
      <c r="F1348">
        <v>160769044</v>
      </c>
      <c r="G1348" t="s">
        <v>7760</v>
      </c>
      <c r="H1348" t="s">
        <v>3378</v>
      </c>
      <c r="J1348" t="s">
        <v>7761</v>
      </c>
      <c r="L1348" t="s">
        <v>35</v>
      </c>
      <c r="M1348" t="s">
        <v>81</v>
      </c>
      <c r="W1348" t="s">
        <v>2869</v>
      </c>
      <c r="X1348" t="s">
        <v>855</v>
      </c>
      <c r="Y1348" t="s">
        <v>117</v>
      </c>
      <c r="Z1348" t="s">
        <v>73</v>
      </c>
      <c r="AA1348" t="str">
        <f>"14214-2015"</f>
        <v>14214-2015</v>
      </c>
      <c r="AB1348" t="s">
        <v>88</v>
      </c>
      <c r="AC1348" t="s">
        <v>75</v>
      </c>
      <c r="AD1348" t="s">
        <v>72</v>
      </c>
      <c r="AE1348" t="s">
        <v>76</v>
      </c>
      <c r="AF1348" t="s">
        <v>4059</v>
      </c>
      <c r="AG1348" t="s">
        <v>77</v>
      </c>
    </row>
    <row r="1349" spans="1:33" x14ac:dyDescent="0.25">
      <c r="A1349" t="str">
        <f>"1487657094"</f>
        <v>1487657094</v>
      </c>
      <c r="B1349" t="str">
        <f>"01519662"</f>
        <v>01519662</v>
      </c>
      <c r="C1349" t="s">
        <v>8361</v>
      </c>
      <c r="D1349" t="s">
        <v>2189</v>
      </c>
      <c r="E1349" t="s">
        <v>2190</v>
      </c>
      <c r="G1349" t="s">
        <v>8362</v>
      </c>
      <c r="H1349" t="s">
        <v>783</v>
      </c>
      <c r="J1349" t="s">
        <v>8363</v>
      </c>
      <c r="L1349" t="s">
        <v>79</v>
      </c>
      <c r="M1349" t="s">
        <v>72</v>
      </c>
      <c r="R1349" t="s">
        <v>2191</v>
      </c>
      <c r="W1349" t="s">
        <v>2192</v>
      </c>
      <c r="X1349" t="s">
        <v>2193</v>
      </c>
      <c r="Y1349" t="s">
        <v>296</v>
      </c>
      <c r="Z1349" t="s">
        <v>73</v>
      </c>
      <c r="AA1349" t="str">
        <f>"14086-1262"</f>
        <v>14086-1262</v>
      </c>
      <c r="AB1349" t="s">
        <v>74</v>
      </c>
      <c r="AC1349" t="s">
        <v>75</v>
      </c>
      <c r="AD1349" t="s">
        <v>72</v>
      </c>
      <c r="AE1349" t="s">
        <v>76</v>
      </c>
      <c r="AF1349" t="s">
        <v>3974</v>
      </c>
      <c r="AG1349" t="s">
        <v>77</v>
      </c>
    </row>
    <row r="1350" spans="1:33" x14ac:dyDescent="0.25">
      <c r="A1350" t="str">
        <f>"1457372161"</f>
        <v>1457372161</v>
      </c>
      <c r="B1350" t="str">
        <f>"00674548"</f>
        <v>00674548</v>
      </c>
      <c r="C1350" t="s">
        <v>8364</v>
      </c>
      <c r="D1350" t="s">
        <v>8365</v>
      </c>
      <c r="E1350" t="s">
        <v>8366</v>
      </c>
      <c r="G1350" t="s">
        <v>5441</v>
      </c>
      <c r="H1350" t="s">
        <v>2776</v>
      </c>
      <c r="J1350" t="s">
        <v>5442</v>
      </c>
      <c r="L1350" t="s">
        <v>79</v>
      </c>
      <c r="M1350" t="s">
        <v>72</v>
      </c>
      <c r="R1350" t="s">
        <v>8367</v>
      </c>
      <c r="W1350" t="s">
        <v>8368</v>
      </c>
      <c r="X1350" t="s">
        <v>8369</v>
      </c>
      <c r="Y1350" t="s">
        <v>117</v>
      </c>
      <c r="Z1350" t="s">
        <v>73</v>
      </c>
      <c r="AA1350" t="str">
        <f>"14203-2297"</f>
        <v>14203-2297</v>
      </c>
      <c r="AB1350" t="s">
        <v>113</v>
      </c>
      <c r="AC1350" t="s">
        <v>75</v>
      </c>
      <c r="AD1350" t="s">
        <v>72</v>
      </c>
      <c r="AE1350" t="s">
        <v>76</v>
      </c>
      <c r="AF1350" t="s">
        <v>3974</v>
      </c>
      <c r="AG1350" t="s">
        <v>77</v>
      </c>
    </row>
    <row r="1351" spans="1:33" x14ac:dyDescent="0.25">
      <c r="A1351" t="str">
        <f>"1851360606"</f>
        <v>1851360606</v>
      </c>
      <c r="B1351" t="str">
        <f>"01958516"</f>
        <v>01958516</v>
      </c>
      <c r="C1351" t="s">
        <v>8370</v>
      </c>
      <c r="D1351" t="s">
        <v>8371</v>
      </c>
      <c r="E1351" t="s">
        <v>8372</v>
      </c>
      <c r="G1351" t="s">
        <v>4797</v>
      </c>
      <c r="H1351" t="s">
        <v>4798</v>
      </c>
      <c r="I1351">
        <v>104</v>
      </c>
      <c r="J1351" t="s">
        <v>4799</v>
      </c>
      <c r="L1351" t="s">
        <v>80</v>
      </c>
      <c r="M1351" t="s">
        <v>81</v>
      </c>
      <c r="R1351" t="s">
        <v>8373</v>
      </c>
      <c r="W1351" t="s">
        <v>8374</v>
      </c>
      <c r="X1351" t="s">
        <v>6217</v>
      </c>
      <c r="Y1351" t="s">
        <v>408</v>
      </c>
      <c r="Z1351" t="s">
        <v>73</v>
      </c>
      <c r="AA1351" t="str">
        <f>"14757-1017"</f>
        <v>14757-1017</v>
      </c>
      <c r="AB1351" t="s">
        <v>74</v>
      </c>
      <c r="AC1351" t="s">
        <v>75</v>
      </c>
      <c r="AD1351" t="s">
        <v>72</v>
      </c>
      <c r="AE1351" t="s">
        <v>76</v>
      </c>
      <c r="AF1351" t="s">
        <v>4049</v>
      </c>
      <c r="AG1351" t="s">
        <v>77</v>
      </c>
    </row>
    <row r="1352" spans="1:33" x14ac:dyDescent="0.25">
      <c r="A1352" t="str">
        <f>"1003803271"</f>
        <v>1003803271</v>
      </c>
      <c r="B1352" t="str">
        <f>"00475365"</f>
        <v>00475365</v>
      </c>
      <c r="C1352" t="s">
        <v>8375</v>
      </c>
      <c r="D1352" t="s">
        <v>3870</v>
      </c>
      <c r="E1352" t="s">
        <v>3871</v>
      </c>
      <c r="G1352" t="s">
        <v>3865</v>
      </c>
      <c r="H1352" t="s">
        <v>3866</v>
      </c>
      <c r="J1352" t="s">
        <v>3867</v>
      </c>
      <c r="L1352" t="s">
        <v>15</v>
      </c>
      <c r="M1352" t="s">
        <v>81</v>
      </c>
      <c r="R1352" t="s">
        <v>3872</v>
      </c>
      <c r="W1352" t="s">
        <v>3871</v>
      </c>
      <c r="X1352" t="s">
        <v>3873</v>
      </c>
      <c r="Y1352" t="s">
        <v>237</v>
      </c>
      <c r="Z1352" t="s">
        <v>73</v>
      </c>
      <c r="AA1352" t="str">
        <f>"14224-2648"</f>
        <v>14224-2648</v>
      </c>
      <c r="AB1352" t="s">
        <v>98</v>
      </c>
      <c r="AC1352" t="s">
        <v>75</v>
      </c>
      <c r="AD1352" t="s">
        <v>72</v>
      </c>
      <c r="AE1352" t="s">
        <v>76</v>
      </c>
      <c r="AF1352" t="s">
        <v>4078</v>
      </c>
      <c r="AG1352" t="s">
        <v>77</v>
      </c>
    </row>
    <row r="1353" spans="1:33" x14ac:dyDescent="0.25">
      <c r="A1353" t="str">
        <f>"1407809742"</f>
        <v>1407809742</v>
      </c>
      <c r="B1353" t="str">
        <f>"02554369"</f>
        <v>02554369</v>
      </c>
      <c r="C1353" t="s">
        <v>8376</v>
      </c>
      <c r="D1353" t="s">
        <v>8377</v>
      </c>
      <c r="E1353" t="s">
        <v>8378</v>
      </c>
      <c r="G1353" t="s">
        <v>3969</v>
      </c>
      <c r="H1353" t="s">
        <v>3970</v>
      </c>
      <c r="J1353" t="s">
        <v>3971</v>
      </c>
      <c r="L1353" t="s">
        <v>79</v>
      </c>
      <c r="M1353" t="s">
        <v>72</v>
      </c>
      <c r="R1353" t="s">
        <v>8379</v>
      </c>
      <c r="W1353" t="s">
        <v>8378</v>
      </c>
      <c r="X1353" t="s">
        <v>246</v>
      </c>
      <c r="Y1353" t="s">
        <v>247</v>
      </c>
      <c r="Z1353" t="s">
        <v>73</v>
      </c>
      <c r="AA1353" t="str">
        <f>"14225-4018"</f>
        <v>14225-4018</v>
      </c>
      <c r="AB1353" t="s">
        <v>74</v>
      </c>
      <c r="AC1353" t="s">
        <v>75</v>
      </c>
      <c r="AD1353" t="s">
        <v>72</v>
      </c>
      <c r="AE1353" t="s">
        <v>76</v>
      </c>
      <c r="AF1353" t="s">
        <v>3974</v>
      </c>
      <c r="AG1353" t="s">
        <v>77</v>
      </c>
    </row>
    <row r="1354" spans="1:33" x14ac:dyDescent="0.25">
      <c r="A1354" t="str">
        <f>"1730116344"</f>
        <v>1730116344</v>
      </c>
      <c r="B1354" t="str">
        <f>"01185088"</f>
        <v>01185088</v>
      </c>
      <c r="C1354" t="s">
        <v>8380</v>
      </c>
      <c r="D1354" t="s">
        <v>8381</v>
      </c>
      <c r="E1354" t="s">
        <v>8382</v>
      </c>
      <c r="G1354" t="s">
        <v>8380</v>
      </c>
      <c r="H1354" t="s">
        <v>7774</v>
      </c>
      <c r="J1354" t="s">
        <v>8383</v>
      </c>
      <c r="L1354" t="s">
        <v>79</v>
      </c>
      <c r="M1354" t="s">
        <v>72</v>
      </c>
      <c r="R1354" t="s">
        <v>8384</v>
      </c>
      <c r="W1354" t="s">
        <v>8382</v>
      </c>
      <c r="X1354" t="s">
        <v>301</v>
      </c>
      <c r="Y1354" t="s">
        <v>117</v>
      </c>
      <c r="Z1354" t="s">
        <v>73</v>
      </c>
      <c r="AA1354" t="str">
        <f>"14214-2648"</f>
        <v>14214-2648</v>
      </c>
      <c r="AB1354" t="s">
        <v>74</v>
      </c>
      <c r="AC1354" t="s">
        <v>75</v>
      </c>
      <c r="AD1354" t="s">
        <v>72</v>
      </c>
      <c r="AE1354" t="s">
        <v>76</v>
      </c>
      <c r="AF1354" t="s">
        <v>3974</v>
      </c>
      <c r="AG1354" t="s">
        <v>77</v>
      </c>
    </row>
    <row r="1355" spans="1:33" x14ac:dyDescent="0.25">
      <c r="A1355" t="str">
        <f>"1780832766"</f>
        <v>1780832766</v>
      </c>
      <c r="B1355" t="str">
        <f>"03244520"</f>
        <v>03244520</v>
      </c>
      <c r="C1355" t="s">
        <v>8385</v>
      </c>
      <c r="D1355" t="s">
        <v>8386</v>
      </c>
      <c r="E1355" t="s">
        <v>8387</v>
      </c>
      <c r="G1355" t="s">
        <v>8385</v>
      </c>
      <c r="H1355" t="s">
        <v>8388</v>
      </c>
      <c r="J1355" t="s">
        <v>8389</v>
      </c>
      <c r="L1355" t="s">
        <v>79</v>
      </c>
      <c r="M1355" t="s">
        <v>72</v>
      </c>
      <c r="R1355" t="s">
        <v>8390</v>
      </c>
      <c r="W1355" t="s">
        <v>8391</v>
      </c>
      <c r="X1355" t="s">
        <v>201</v>
      </c>
      <c r="Y1355" t="s">
        <v>111</v>
      </c>
      <c r="Z1355" t="s">
        <v>73</v>
      </c>
      <c r="AA1355" t="str">
        <f>"14621-3001"</f>
        <v>14621-3001</v>
      </c>
      <c r="AB1355" t="s">
        <v>74</v>
      </c>
      <c r="AC1355" t="s">
        <v>75</v>
      </c>
      <c r="AD1355" t="s">
        <v>72</v>
      </c>
      <c r="AE1355" t="s">
        <v>76</v>
      </c>
      <c r="AF1355" t="s">
        <v>3974</v>
      </c>
      <c r="AG1355" t="s">
        <v>77</v>
      </c>
    </row>
    <row r="1356" spans="1:33" x14ac:dyDescent="0.25">
      <c r="A1356" t="str">
        <f>"1154656031"</f>
        <v>1154656031</v>
      </c>
      <c r="B1356" t="str">
        <f>"03503959"</f>
        <v>03503959</v>
      </c>
      <c r="C1356" t="s">
        <v>8392</v>
      </c>
      <c r="D1356" t="s">
        <v>8393</v>
      </c>
      <c r="E1356" t="s">
        <v>8394</v>
      </c>
      <c r="G1356" t="s">
        <v>8392</v>
      </c>
      <c r="H1356" t="s">
        <v>5786</v>
      </c>
      <c r="J1356" t="s">
        <v>8395</v>
      </c>
      <c r="L1356" t="s">
        <v>80</v>
      </c>
      <c r="M1356" t="s">
        <v>81</v>
      </c>
      <c r="R1356" t="s">
        <v>8396</v>
      </c>
      <c r="W1356" t="s">
        <v>8397</v>
      </c>
      <c r="X1356" t="s">
        <v>5409</v>
      </c>
      <c r="Y1356" t="s">
        <v>117</v>
      </c>
      <c r="Z1356" t="s">
        <v>73</v>
      </c>
      <c r="AA1356" t="str">
        <f>"14204-2275"</f>
        <v>14204-2275</v>
      </c>
      <c r="AB1356" t="s">
        <v>74</v>
      </c>
      <c r="AC1356" t="s">
        <v>75</v>
      </c>
      <c r="AD1356" t="s">
        <v>72</v>
      </c>
      <c r="AE1356" t="s">
        <v>76</v>
      </c>
      <c r="AG1356" t="s">
        <v>77</v>
      </c>
    </row>
    <row r="1357" spans="1:33" x14ac:dyDescent="0.25">
      <c r="A1357" t="str">
        <f>"1588674428"</f>
        <v>1588674428</v>
      </c>
      <c r="B1357" t="str">
        <f>"02396963"</f>
        <v>02396963</v>
      </c>
      <c r="C1357" t="s">
        <v>8398</v>
      </c>
      <c r="D1357" t="s">
        <v>1515</v>
      </c>
      <c r="E1357" t="s">
        <v>1516</v>
      </c>
      <c r="G1357" t="s">
        <v>4014</v>
      </c>
      <c r="H1357" t="s">
        <v>750</v>
      </c>
      <c r="J1357" t="s">
        <v>4015</v>
      </c>
      <c r="L1357" t="s">
        <v>79</v>
      </c>
      <c r="M1357" t="s">
        <v>72</v>
      </c>
      <c r="R1357" t="s">
        <v>1517</v>
      </c>
      <c r="W1357" t="s">
        <v>1517</v>
      </c>
      <c r="X1357" t="s">
        <v>1518</v>
      </c>
      <c r="Y1357" t="s">
        <v>117</v>
      </c>
      <c r="Z1357" t="s">
        <v>73</v>
      </c>
      <c r="AA1357" t="str">
        <f>"14215-3021"</f>
        <v>14215-3021</v>
      </c>
      <c r="AB1357" t="s">
        <v>74</v>
      </c>
      <c r="AC1357" t="s">
        <v>75</v>
      </c>
      <c r="AD1357" t="s">
        <v>72</v>
      </c>
      <c r="AE1357" t="s">
        <v>76</v>
      </c>
      <c r="AF1357" t="s">
        <v>3974</v>
      </c>
      <c r="AG1357" t="s">
        <v>77</v>
      </c>
    </row>
    <row r="1358" spans="1:33" x14ac:dyDescent="0.25">
      <c r="A1358" t="str">
        <f>"1710062245"</f>
        <v>1710062245</v>
      </c>
      <c r="B1358" t="str">
        <f>"02818546"</f>
        <v>02818546</v>
      </c>
      <c r="C1358" t="s">
        <v>8399</v>
      </c>
      <c r="D1358" t="s">
        <v>8400</v>
      </c>
      <c r="E1358" t="s">
        <v>8401</v>
      </c>
      <c r="G1358" t="s">
        <v>171</v>
      </c>
      <c r="H1358" t="s">
        <v>1149</v>
      </c>
      <c r="J1358" t="s">
        <v>7245</v>
      </c>
      <c r="L1358" t="s">
        <v>80</v>
      </c>
      <c r="M1358" t="s">
        <v>72</v>
      </c>
      <c r="R1358" t="s">
        <v>8402</v>
      </c>
      <c r="W1358" t="s">
        <v>8401</v>
      </c>
      <c r="X1358" t="s">
        <v>319</v>
      </c>
      <c r="Y1358" t="s">
        <v>111</v>
      </c>
      <c r="Z1358" t="s">
        <v>73</v>
      </c>
      <c r="AA1358" t="str">
        <f>"14621-2604"</f>
        <v>14621-2604</v>
      </c>
      <c r="AB1358" t="s">
        <v>74</v>
      </c>
      <c r="AC1358" t="s">
        <v>75</v>
      </c>
      <c r="AD1358" t="s">
        <v>72</v>
      </c>
      <c r="AE1358" t="s">
        <v>76</v>
      </c>
      <c r="AF1358" t="s">
        <v>4431</v>
      </c>
      <c r="AG1358" t="s">
        <v>77</v>
      </c>
    </row>
    <row r="1359" spans="1:33" x14ac:dyDescent="0.25">
      <c r="A1359" t="str">
        <f>"1053427625"</f>
        <v>1053427625</v>
      </c>
      <c r="B1359" t="str">
        <f>"01462188"</f>
        <v>01462188</v>
      </c>
      <c r="C1359" t="s">
        <v>8403</v>
      </c>
      <c r="D1359" t="s">
        <v>8404</v>
      </c>
      <c r="E1359" t="s">
        <v>8405</v>
      </c>
      <c r="G1359" t="s">
        <v>6164</v>
      </c>
      <c r="H1359" t="s">
        <v>1114</v>
      </c>
      <c r="J1359" t="s">
        <v>6166</v>
      </c>
      <c r="L1359" t="s">
        <v>79</v>
      </c>
      <c r="M1359" t="s">
        <v>72</v>
      </c>
      <c r="R1359" t="s">
        <v>8406</v>
      </c>
      <c r="W1359" t="s">
        <v>8405</v>
      </c>
      <c r="X1359" t="s">
        <v>169</v>
      </c>
      <c r="Y1359" t="s">
        <v>117</v>
      </c>
      <c r="Z1359" t="s">
        <v>73</v>
      </c>
      <c r="AA1359" t="str">
        <f>"14209-1120"</f>
        <v>14209-1120</v>
      </c>
      <c r="AB1359" t="s">
        <v>74</v>
      </c>
      <c r="AC1359" t="s">
        <v>75</v>
      </c>
      <c r="AD1359" t="s">
        <v>72</v>
      </c>
      <c r="AE1359" t="s">
        <v>76</v>
      </c>
      <c r="AF1359" t="s">
        <v>3974</v>
      </c>
      <c r="AG1359" t="s">
        <v>77</v>
      </c>
    </row>
    <row r="1360" spans="1:33" x14ac:dyDescent="0.25">
      <c r="A1360" t="str">
        <f>"1003082215"</f>
        <v>1003082215</v>
      </c>
      <c r="B1360" t="str">
        <f>"03419207"</f>
        <v>03419207</v>
      </c>
      <c r="C1360" t="s">
        <v>8407</v>
      </c>
      <c r="D1360" t="s">
        <v>8408</v>
      </c>
      <c r="E1360" t="s">
        <v>8409</v>
      </c>
      <c r="G1360" t="s">
        <v>8410</v>
      </c>
      <c r="H1360" t="s">
        <v>8411</v>
      </c>
      <c r="J1360" t="s">
        <v>8412</v>
      </c>
      <c r="L1360" t="s">
        <v>79</v>
      </c>
      <c r="M1360" t="s">
        <v>72</v>
      </c>
      <c r="R1360" t="s">
        <v>8413</v>
      </c>
      <c r="W1360" t="s">
        <v>8409</v>
      </c>
      <c r="X1360" t="s">
        <v>187</v>
      </c>
      <c r="Y1360" t="s">
        <v>188</v>
      </c>
      <c r="Z1360" t="s">
        <v>73</v>
      </c>
      <c r="AA1360" t="str">
        <f>"14092-1903"</f>
        <v>14092-1903</v>
      </c>
      <c r="AB1360" t="s">
        <v>74</v>
      </c>
      <c r="AC1360" t="s">
        <v>75</v>
      </c>
      <c r="AD1360" t="s">
        <v>72</v>
      </c>
      <c r="AE1360" t="s">
        <v>76</v>
      </c>
      <c r="AF1360" t="s">
        <v>3961</v>
      </c>
      <c r="AG1360" t="s">
        <v>77</v>
      </c>
    </row>
    <row r="1361" spans="1:33" x14ac:dyDescent="0.25">
      <c r="A1361" t="str">
        <f>"1124195649"</f>
        <v>1124195649</v>
      </c>
      <c r="B1361" t="str">
        <f>"01614204"</f>
        <v>01614204</v>
      </c>
      <c r="C1361" t="s">
        <v>8414</v>
      </c>
      <c r="D1361" t="s">
        <v>2878</v>
      </c>
      <c r="E1361" t="s">
        <v>2879</v>
      </c>
      <c r="G1361" t="s">
        <v>8414</v>
      </c>
      <c r="H1361" t="s">
        <v>8415</v>
      </c>
      <c r="J1361" t="s">
        <v>8416</v>
      </c>
      <c r="L1361" t="s">
        <v>71</v>
      </c>
      <c r="M1361" t="s">
        <v>72</v>
      </c>
      <c r="R1361" t="s">
        <v>2880</v>
      </c>
      <c r="W1361" t="s">
        <v>2879</v>
      </c>
      <c r="X1361" t="s">
        <v>1146</v>
      </c>
      <c r="Y1361" t="s">
        <v>436</v>
      </c>
      <c r="Z1361" t="s">
        <v>73</v>
      </c>
      <c r="AA1361" t="str">
        <f>"14217-1390"</f>
        <v>14217-1390</v>
      </c>
      <c r="AB1361" t="s">
        <v>74</v>
      </c>
      <c r="AC1361" t="s">
        <v>75</v>
      </c>
      <c r="AD1361" t="s">
        <v>72</v>
      </c>
      <c r="AE1361" t="s">
        <v>76</v>
      </c>
      <c r="AF1361" t="s">
        <v>3974</v>
      </c>
      <c r="AG1361" t="s">
        <v>77</v>
      </c>
    </row>
    <row r="1362" spans="1:33" x14ac:dyDescent="0.25">
      <c r="A1362" t="str">
        <f>"1508868407"</f>
        <v>1508868407</v>
      </c>
      <c r="C1362" t="s">
        <v>8417</v>
      </c>
      <c r="G1362" t="s">
        <v>8418</v>
      </c>
      <c r="H1362" t="s">
        <v>1495</v>
      </c>
      <c r="J1362" t="s">
        <v>8419</v>
      </c>
      <c r="K1362" t="s">
        <v>89</v>
      </c>
      <c r="L1362" t="s">
        <v>92</v>
      </c>
      <c r="M1362" t="s">
        <v>72</v>
      </c>
      <c r="R1362" t="s">
        <v>2509</v>
      </c>
      <c r="S1362" t="s">
        <v>2510</v>
      </c>
      <c r="T1362" t="s">
        <v>117</v>
      </c>
      <c r="U1362" t="s">
        <v>73</v>
      </c>
      <c r="V1362" t="str">
        <f>"142022016"</f>
        <v>142022016</v>
      </c>
      <c r="AC1362" t="s">
        <v>75</v>
      </c>
      <c r="AD1362" t="s">
        <v>72</v>
      </c>
      <c r="AE1362" t="s">
        <v>93</v>
      </c>
      <c r="AF1362" t="s">
        <v>4879</v>
      </c>
      <c r="AG1362" t="s">
        <v>77</v>
      </c>
    </row>
    <row r="1363" spans="1:33" x14ac:dyDescent="0.25">
      <c r="A1363" t="str">
        <f>"1023230695"</f>
        <v>1023230695</v>
      </c>
      <c r="B1363" t="str">
        <f>"00671765"</f>
        <v>00671765</v>
      </c>
      <c r="C1363" t="s">
        <v>8417</v>
      </c>
      <c r="D1363" t="s">
        <v>1933</v>
      </c>
      <c r="E1363" t="s">
        <v>1934</v>
      </c>
      <c r="G1363" t="s">
        <v>8418</v>
      </c>
      <c r="H1363" t="s">
        <v>1495</v>
      </c>
      <c r="J1363" t="s">
        <v>8419</v>
      </c>
      <c r="L1363" t="s">
        <v>139</v>
      </c>
      <c r="M1363" t="s">
        <v>81</v>
      </c>
      <c r="R1363" t="s">
        <v>1932</v>
      </c>
      <c r="W1363" t="s">
        <v>1934</v>
      </c>
      <c r="X1363" t="s">
        <v>1846</v>
      </c>
      <c r="Y1363" t="s">
        <v>117</v>
      </c>
      <c r="Z1363" t="s">
        <v>73</v>
      </c>
      <c r="AA1363" t="str">
        <f>"14213-2116"</f>
        <v>14213-2116</v>
      </c>
      <c r="AB1363" t="s">
        <v>109</v>
      </c>
      <c r="AC1363" t="s">
        <v>75</v>
      </c>
      <c r="AD1363" t="s">
        <v>72</v>
      </c>
      <c r="AE1363" t="s">
        <v>76</v>
      </c>
      <c r="AF1363" t="s">
        <v>4879</v>
      </c>
      <c r="AG1363" t="s">
        <v>77</v>
      </c>
    </row>
    <row r="1364" spans="1:33" x14ac:dyDescent="0.25">
      <c r="A1364" t="str">
        <f>"1891907507"</f>
        <v>1891907507</v>
      </c>
      <c r="B1364" t="str">
        <f>"03005314"</f>
        <v>03005314</v>
      </c>
      <c r="C1364" t="s">
        <v>8417</v>
      </c>
      <c r="D1364" t="s">
        <v>1933</v>
      </c>
      <c r="E1364" t="s">
        <v>1934</v>
      </c>
      <c r="G1364" t="s">
        <v>8418</v>
      </c>
      <c r="H1364" t="s">
        <v>1495</v>
      </c>
      <c r="J1364" t="s">
        <v>8419</v>
      </c>
      <c r="L1364" t="s">
        <v>139</v>
      </c>
      <c r="M1364" t="s">
        <v>81</v>
      </c>
      <c r="R1364" t="s">
        <v>1932</v>
      </c>
      <c r="W1364" t="s">
        <v>1934</v>
      </c>
      <c r="X1364" t="s">
        <v>2117</v>
      </c>
      <c r="Y1364" t="s">
        <v>117</v>
      </c>
      <c r="Z1364" t="s">
        <v>73</v>
      </c>
      <c r="AA1364" t="str">
        <f>"14213-2116"</f>
        <v>14213-2116</v>
      </c>
      <c r="AB1364" t="s">
        <v>109</v>
      </c>
      <c r="AC1364" t="s">
        <v>75</v>
      </c>
      <c r="AD1364" t="s">
        <v>72</v>
      </c>
      <c r="AE1364" t="s">
        <v>76</v>
      </c>
      <c r="AF1364" t="s">
        <v>4879</v>
      </c>
      <c r="AG1364" t="s">
        <v>77</v>
      </c>
    </row>
    <row r="1365" spans="1:33" x14ac:dyDescent="0.25">
      <c r="A1365" t="str">
        <f>"1316040686"</f>
        <v>1316040686</v>
      </c>
      <c r="B1365" t="str">
        <f>"00817083"</f>
        <v>00817083</v>
      </c>
      <c r="C1365" t="s">
        <v>8420</v>
      </c>
      <c r="D1365" t="s">
        <v>3033</v>
      </c>
      <c r="E1365" t="s">
        <v>3034</v>
      </c>
      <c r="G1365" t="s">
        <v>8420</v>
      </c>
      <c r="H1365" t="s">
        <v>3035</v>
      </c>
      <c r="J1365" t="s">
        <v>8421</v>
      </c>
      <c r="L1365" t="s">
        <v>71</v>
      </c>
      <c r="M1365" t="s">
        <v>72</v>
      </c>
      <c r="R1365" t="s">
        <v>3036</v>
      </c>
      <c r="W1365" t="s">
        <v>3037</v>
      </c>
      <c r="X1365" t="s">
        <v>203</v>
      </c>
      <c r="Y1365" t="s">
        <v>247</v>
      </c>
      <c r="Z1365" t="s">
        <v>73</v>
      </c>
      <c r="AA1365" t="str">
        <f>"14225-2021"</f>
        <v>14225-2021</v>
      </c>
      <c r="AB1365" t="s">
        <v>74</v>
      </c>
      <c r="AC1365" t="s">
        <v>75</v>
      </c>
      <c r="AD1365" t="s">
        <v>72</v>
      </c>
      <c r="AE1365" t="s">
        <v>76</v>
      </c>
      <c r="AF1365" t="s">
        <v>3974</v>
      </c>
      <c r="AG1365" t="s">
        <v>77</v>
      </c>
    </row>
    <row r="1366" spans="1:33" x14ac:dyDescent="0.25">
      <c r="A1366" t="str">
        <f>"1770507758"</f>
        <v>1770507758</v>
      </c>
      <c r="B1366" t="str">
        <f>"02839201"</f>
        <v>02839201</v>
      </c>
      <c r="C1366" t="s">
        <v>8422</v>
      </c>
      <c r="D1366" t="s">
        <v>8423</v>
      </c>
      <c r="E1366" t="s">
        <v>8424</v>
      </c>
      <c r="G1366" t="s">
        <v>8422</v>
      </c>
      <c r="H1366" t="s">
        <v>8425</v>
      </c>
      <c r="L1366" t="s">
        <v>79</v>
      </c>
      <c r="M1366" t="s">
        <v>72</v>
      </c>
      <c r="R1366" t="s">
        <v>8426</v>
      </c>
      <c r="W1366" t="s">
        <v>8424</v>
      </c>
      <c r="X1366" t="s">
        <v>310</v>
      </c>
      <c r="Y1366" t="s">
        <v>307</v>
      </c>
      <c r="Z1366" t="s">
        <v>73</v>
      </c>
      <c r="AA1366" t="str">
        <f>"14020-1631"</f>
        <v>14020-1631</v>
      </c>
      <c r="AB1366" t="s">
        <v>74</v>
      </c>
      <c r="AC1366" t="s">
        <v>75</v>
      </c>
      <c r="AD1366" t="s">
        <v>72</v>
      </c>
      <c r="AE1366" t="s">
        <v>76</v>
      </c>
      <c r="AF1366" t="s">
        <v>3961</v>
      </c>
      <c r="AG1366" t="s">
        <v>77</v>
      </c>
    </row>
    <row r="1367" spans="1:33" x14ac:dyDescent="0.25">
      <c r="A1367" t="str">
        <f>"1316180508"</f>
        <v>1316180508</v>
      </c>
      <c r="B1367" t="str">
        <f>"03504712"</f>
        <v>03504712</v>
      </c>
      <c r="C1367" t="s">
        <v>8427</v>
      </c>
      <c r="D1367" t="s">
        <v>8428</v>
      </c>
      <c r="E1367" t="s">
        <v>8429</v>
      </c>
      <c r="G1367" t="s">
        <v>4883</v>
      </c>
      <c r="H1367" t="s">
        <v>3216</v>
      </c>
      <c r="J1367" t="s">
        <v>4884</v>
      </c>
      <c r="L1367" t="s">
        <v>79</v>
      </c>
      <c r="M1367" t="s">
        <v>72</v>
      </c>
      <c r="R1367" t="s">
        <v>8430</v>
      </c>
      <c r="W1367" t="s">
        <v>8429</v>
      </c>
      <c r="X1367" t="s">
        <v>187</v>
      </c>
      <c r="Y1367" t="s">
        <v>188</v>
      </c>
      <c r="Z1367" t="s">
        <v>73</v>
      </c>
      <c r="AA1367" t="str">
        <f>"14092-1903"</f>
        <v>14092-1903</v>
      </c>
      <c r="AB1367" t="s">
        <v>74</v>
      </c>
      <c r="AC1367" t="s">
        <v>75</v>
      </c>
      <c r="AD1367" t="s">
        <v>72</v>
      </c>
      <c r="AE1367" t="s">
        <v>76</v>
      </c>
      <c r="AF1367" t="s">
        <v>3974</v>
      </c>
      <c r="AG1367" t="s">
        <v>77</v>
      </c>
    </row>
    <row r="1368" spans="1:33" x14ac:dyDescent="0.25">
      <c r="A1368" t="str">
        <f>"1710978598"</f>
        <v>1710978598</v>
      </c>
      <c r="B1368" t="str">
        <f>"01134427"</f>
        <v>01134427</v>
      </c>
      <c r="C1368" t="s">
        <v>8431</v>
      </c>
      <c r="D1368" t="s">
        <v>1449</v>
      </c>
      <c r="E1368" t="s">
        <v>1450</v>
      </c>
      <c r="G1368" t="s">
        <v>8431</v>
      </c>
      <c r="H1368" t="s">
        <v>789</v>
      </c>
      <c r="J1368" t="s">
        <v>8432</v>
      </c>
      <c r="L1368" t="s">
        <v>79</v>
      </c>
      <c r="M1368" t="s">
        <v>72</v>
      </c>
      <c r="R1368" t="s">
        <v>1451</v>
      </c>
      <c r="W1368" t="s">
        <v>1450</v>
      </c>
      <c r="X1368" t="s">
        <v>169</v>
      </c>
      <c r="Y1368" t="s">
        <v>117</v>
      </c>
      <c r="Z1368" t="s">
        <v>73</v>
      </c>
      <c r="AA1368" t="str">
        <f>"14209-1120"</f>
        <v>14209-1120</v>
      </c>
      <c r="AB1368" t="s">
        <v>74</v>
      </c>
      <c r="AC1368" t="s">
        <v>75</v>
      </c>
      <c r="AD1368" t="s">
        <v>72</v>
      </c>
      <c r="AE1368" t="s">
        <v>76</v>
      </c>
      <c r="AF1368" t="s">
        <v>3974</v>
      </c>
      <c r="AG1368" t="s">
        <v>77</v>
      </c>
    </row>
    <row r="1369" spans="1:33" x14ac:dyDescent="0.25">
      <c r="A1369" t="str">
        <f>"1306950001"</f>
        <v>1306950001</v>
      </c>
      <c r="B1369" t="str">
        <f>"03489461"</f>
        <v>03489461</v>
      </c>
      <c r="C1369" t="s">
        <v>8433</v>
      </c>
      <c r="D1369" t="s">
        <v>2392</v>
      </c>
      <c r="E1369" t="s">
        <v>2393</v>
      </c>
      <c r="G1369" t="s">
        <v>7121</v>
      </c>
      <c r="H1369" t="s">
        <v>8434</v>
      </c>
      <c r="J1369" t="s">
        <v>7123</v>
      </c>
      <c r="L1369" t="s">
        <v>79</v>
      </c>
      <c r="M1369" t="s">
        <v>72</v>
      </c>
      <c r="R1369" t="s">
        <v>2394</v>
      </c>
      <c r="W1369" t="s">
        <v>2394</v>
      </c>
      <c r="X1369" t="s">
        <v>2395</v>
      </c>
      <c r="Y1369" t="s">
        <v>326</v>
      </c>
      <c r="Z1369" t="s">
        <v>73</v>
      </c>
      <c r="AA1369" t="str">
        <f>"14127-1506"</f>
        <v>14127-1506</v>
      </c>
      <c r="AB1369" t="s">
        <v>74</v>
      </c>
      <c r="AC1369" t="s">
        <v>75</v>
      </c>
      <c r="AD1369" t="s">
        <v>72</v>
      </c>
      <c r="AE1369" t="s">
        <v>76</v>
      </c>
      <c r="AG1369" t="s">
        <v>77</v>
      </c>
    </row>
    <row r="1370" spans="1:33" x14ac:dyDescent="0.25">
      <c r="A1370" t="str">
        <f>"1912160573"</f>
        <v>1912160573</v>
      </c>
      <c r="B1370" t="str">
        <f>"03785453"</f>
        <v>03785453</v>
      </c>
      <c r="C1370" t="s">
        <v>8435</v>
      </c>
      <c r="D1370" t="s">
        <v>8436</v>
      </c>
      <c r="E1370" t="s">
        <v>8437</v>
      </c>
      <c r="G1370" t="s">
        <v>7074</v>
      </c>
      <c r="H1370" t="s">
        <v>1637</v>
      </c>
      <c r="J1370" t="s">
        <v>7075</v>
      </c>
      <c r="L1370" t="s">
        <v>80</v>
      </c>
      <c r="M1370" t="s">
        <v>72</v>
      </c>
      <c r="R1370" t="s">
        <v>8438</v>
      </c>
      <c r="W1370" t="s">
        <v>8437</v>
      </c>
      <c r="X1370" t="s">
        <v>8439</v>
      </c>
      <c r="Y1370" t="s">
        <v>326</v>
      </c>
      <c r="Z1370" t="s">
        <v>73</v>
      </c>
      <c r="AA1370" t="str">
        <f>"14127-1236"</f>
        <v>14127-1236</v>
      </c>
      <c r="AB1370" t="s">
        <v>74</v>
      </c>
      <c r="AC1370" t="s">
        <v>75</v>
      </c>
      <c r="AD1370" t="s">
        <v>72</v>
      </c>
      <c r="AE1370" t="s">
        <v>76</v>
      </c>
      <c r="AF1370" t="s">
        <v>3961</v>
      </c>
      <c r="AG1370" t="s">
        <v>77</v>
      </c>
    </row>
    <row r="1371" spans="1:33" x14ac:dyDescent="0.25">
      <c r="A1371" t="str">
        <f>"1649202342"</f>
        <v>1649202342</v>
      </c>
      <c r="B1371" t="str">
        <f>"01052120"</f>
        <v>01052120</v>
      </c>
      <c r="C1371" t="s">
        <v>8440</v>
      </c>
      <c r="D1371" t="s">
        <v>2381</v>
      </c>
      <c r="E1371" t="s">
        <v>2382</v>
      </c>
      <c r="G1371" t="s">
        <v>5533</v>
      </c>
      <c r="H1371" t="s">
        <v>2383</v>
      </c>
      <c r="J1371" t="s">
        <v>5534</v>
      </c>
      <c r="L1371" t="s">
        <v>80</v>
      </c>
      <c r="M1371" t="s">
        <v>81</v>
      </c>
      <c r="R1371" t="s">
        <v>2384</v>
      </c>
      <c r="W1371" t="s">
        <v>2382</v>
      </c>
      <c r="X1371" t="s">
        <v>2385</v>
      </c>
      <c r="Y1371" t="s">
        <v>117</v>
      </c>
      <c r="Z1371" t="s">
        <v>73</v>
      </c>
      <c r="AA1371" t="str">
        <f>"14220-2039"</f>
        <v>14220-2039</v>
      </c>
      <c r="AB1371" t="s">
        <v>74</v>
      </c>
      <c r="AC1371" t="s">
        <v>75</v>
      </c>
      <c r="AD1371" t="s">
        <v>72</v>
      </c>
      <c r="AE1371" t="s">
        <v>76</v>
      </c>
      <c r="AF1371" t="s">
        <v>3961</v>
      </c>
      <c r="AG1371" t="s">
        <v>77</v>
      </c>
    </row>
    <row r="1372" spans="1:33" x14ac:dyDescent="0.25">
      <c r="A1372" t="str">
        <f>"1770586372"</f>
        <v>1770586372</v>
      </c>
      <c r="B1372" t="str">
        <f>"01182425"</f>
        <v>01182425</v>
      </c>
      <c r="C1372" t="s">
        <v>8441</v>
      </c>
      <c r="D1372" t="s">
        <v>781</v>
      </c>
      <c r="E1372" t="s">
        <v>782</v>
      </c>
      <c r="G1372" t="s">
        <v>8441</v>
      </c>
      <c r="H1372" t="s">
        <v>8442</v>
      </c>
      <c r="J1372" t="s">
        <v>8443</v>
      </c>
      <c r="L1372" t="s">
        <v>79</v>
      </c>
      <c r="M1372" t="s">
        <v>72</v>
      </c>
      <c r="R1372" t="s">
        <v>784</v>
      </c>
      <c r="W1372" t="s">
        <v>782</v>
      </c>
      <c r="X1372" t="s">
        <v>295</v>
      </c>
      <c r="Y1372" t="s">
        <v>117</v>
      </c>
      <c r="Z1372" t="s">
        <v>73</v>
      </c>
      <c r="AA1372" t="str">
        <f>"14215-3021"</f>
        <v>14215-3021</v>
      </c>
      <c r="AB1372" t="s">
        <v>74</v>
      </c>
      <c r="AC1372" t="s">
        <v>75</v>
      </c>
      <c r="AD1372" t="s">
        <v>72</v>
      </c>
      <c r="AE1372" t="s">
        <v>76</v>
      </c>
      <c r="AF1372" t="s">
        <v>3974</v>
      </c>
      <c r="AG1372" t="s">
        <v>77</v>
      </c>
    </row>
    <row r="1373" spans="1:33" x14ac:dyDescent="0.25">
      <c r="A1373" t="str">
        <f>"1285606152"</f>
        <v>1285606152</v>
      </c>
      <c r="B1373" t="str">
        <f>"02651265"</f>
        <v>02651265</v>
      </c>
      <c r="C1373" t="s">
        <v>8444</v>
      </c>
      <c r="D1373" t="s">
        <v>2091</v>
      </c>
      <c r="E1373" t="s">
        <v>2092</v>
      </c>
      <c r="L1373" t="s">
        <v>79</v>
      </c>
      <c r="M1373" t="s">
        <v>72</v>
      </c>
      <c r="R1373" t="s">
        <v>2093</v>
      </c>
      <c r="W1373" t="s">
        <v>2094</v>
      </c>
      <c r="X1373" t="s">
        <v>657</v>
      </c>
      <c r="Y1373" t="s">
        <v>117</v>
      </c>
      <c r="Z1373" t="s">
        <v>73</v>
      </c>
      <c r="AA1373" t="str">
        <f>"14216-2611"</f>
        <v>14216-2611</v>
      </c>
      <c r="AB1373" t="s">
        <v>74</v>
      </c>
      <c r="AC1373" t="s">
        <v>75</v>
      </c>
      <c r="AD1373" t="s">
        <v>72</v>
      </c>
      <c r="AE1373" t="s">
        <v>76</v>
      </c>
      <c r="AF1373" t="s">
        <v>3974</v>
      </c>
      <c r="AG1373" t="s">
        <v>77</v>
      </c>
    </row>
    <row r="1374" spans="1:33" x14ac:dyDescent="0.25">
      <c r="A1374" t="str">
        <f>"1609852607"</f>
        <v>1609852607</v>
      </c>
      <c r="B1374" t="str">
        <f>"02502481"</f>
        <v>02502481</v>
      </c>
      <c r="C1374" t="s">
        <v>8445</v>
      </c>
      <c r="D1374" t="s">
        <v>1177</v>
      </c>
      <c r="E1374" t="s">
        <v>1178</v>
      </c>
      <c r="L1374" t="s">
        <v>79</v>
      </c>
      <c r="M1374" t="s">
        <v>72</v>
      </c>
      <c r="R1374" t="s">
        <v>1179</v>
      </c>
      <c r="W1374" t="s">
        <v>1178</v>
      </c>
      <c r="X1374" t="s">
        <v>1180</v>
      </c>
      <c r="Y1374" t="s">
        <v>221</v>
      </c>
      <c r="Z1374" t="s">
        <v>73</v>
      </c>
      <c r="AA1374" t="str">
        <f>"14221-6883"</f>
        <v>14221-6883</v>
      </c>
      <c r="AB1374" t="s">
        <v>74</v>
      </c>
      <c r="AC1374" t="s">
        <v>75</v>
      </c>
      <c r="AD1374" t="s">
        <v>72</v>
      </c>
      <c r="AE1374" t="s">
        <v>76</v>
      </c>
      <c r="AF1374" t="s">
        <v>3974</v>
      </c>
      <c r="AG1374" t="s">
        <v>77</v>
      </c>
    </row>
    <row r="1375" spans="1:33" x14ac:dyDescent="0.25">
      <c r="A1375" t="str">
        <f>"1902046543"</f>
        <v>1902046543</v>
      </c>
      <c r="B1375" t="str">
        <f>"02117417"</f>
        <v>02117417</v>
      </c>
      <c r="C1375" t="s">
        <v>8446</v>
      </c>
      <c r="D1375" t="s">
        <v>8447</v>
      </c>
      <c r="E1375" t="s">
        <v>8448</v>
      </c>
      <c r="L1375" t="s">
        <v>79</v>
      </c>
      <c r="M1375" t="s">
        <v>72</v>
      </c>
      <c r="R1375" t="s">
        <v>8449</v>
      </c>
      <c r="W1375" t="s">
        <v>8448</v>
      </c>
      <c r="X1375" t="s">
        <v>8450</v>
      </c>
      <c r="Y1375" t="s">
        <v>326</v>
      </c>
      <c r="Z1375" t="s">
        <v>73</v>
      </c>
      <c r="AA1375" t="str">
        <f>"14127-1853"</f>
        <v>14127-1853</v>
      </c>
      <c r="AB1375" t="s">
        <v>74</v>
      </c>
      <c r="AC1375" t="s">
        <v>75</v>
      </c>
      <c r="AD1375" t="s">
        <v>72</v>
      </c>
      <c r="AE1375" t="s">
        <v>76</v>
      </c>
      <c r="AF1375" t="s">
        <v>3974</v>
      </c>
      <c r="AG1375" t="s">
        <v>77</v>
      </c>
    </row>
    <row r="1376" spans="1:33" x14ac:dyDescent="0.25">
      <c r="A1376" t="str">
        <f>"1851341093"</f>
        <v>1851341093</v>
      </c>
      <c r="B1376" t="str">
        <f>"02564116"</f>
        <v>02564116</v>
      </c>
      <c r="C1376" t="s">
        <v>8451</v>
      </c>
      <c r="D1376" t="s">
        <v>8452</v>
      </c>
      <c r="E1376" t="s">
        <v>8453</v>
      </c>
      <c r="L1376" t="s">
        <v>79</v>
      </c>
      <c r="M1376" t="s">
        <v>72</v>
      </c>
      <c r="R1376" t="s">
        <v>8454</v>
      </c>
      <c r="W1376" t="s">
        <v>8453</v>
      </c>
      <c r="X1376" t="s">
        <v>8453</v>
      </c>
      <c r="Y1376" t="s">
        <v>247</v>
      </c>
      <c r="Z1376" t="s">
        <v>73</v>
      </c>
      <c r="AA1376" t="str">
        <f>"14225-4031"</f>
        <v>14225-4031</v>
      </c>
      <c r="AB1376" t="s">
        <v>74</v>
      </c>
      <c r="AC1376" t="s">
        <v>75</v>
      </c>
      <c r="AD1376" t="s">
        <v>72</v>
      </c>
      <c r="AE1376" t="s">
        <v>76</v>
      </c>
      <c r="AF1376" t="s">
        <v>3974</v>
      </c>
      <c r="AG1376" t="s">
        <v>77</v>
      </c>
    </row>
    <row r="1377" spans="1:33" x14ac:dyDescent="0.25">
      <c r="A1377" t="str">
        <f>"1508026105"</f>
        <v>1508026105</v>
      </c>
      <c r="B1377" t="str">
        <f>"03036606"</f>
        <v>03036606</v>
      </c>
      <c r="C1377" t="s">
        <v>8455</v>
      </c>
      <c r="D1377" t="s">
        <v>2270</v>
      </c>
      <c r="E1377" t="s">
        <v>2271</v>
      </c>
      <c r="L1377" t="s">
        <v>71</v>
      </c>
      <c r="M1377" t="s">
        <v>72</v>
      </c>
      <c r="R1377" t="s">
        <v>2272</v>
      </c>
      <c r="W1377" t="s">
        <v>2271</v>
      </c>
      <c r="X1377" t="s">
        <v>2273</v>
      </c>
      <c r="Y1377" t="s">
        <v>237</v>
      </c>
      <c r="Z1377" t="s">
        <v>73</v>
      </c>
      <c r="AA1377" t="str">
        <f>"14224-2654"</f>
        <v>14224-2654</v>
      </c>
      <c r="AB1377" t="s">
        <v>74</v>
      </c>
      <c r="AC1377" t="s">
        <v>75</v>
      </c>
      <c r="AD1377" t="s">
        <v>72</v>
      </c>
      <c r="AE1377" t="s">
        <v>76</v>
      </c>
      <c r="AF1377" t="s">
        <v>3974</v>
      </c>
      <c r="AG1377" t="s">
        <v>77</v>
      </c>
    </row>
    <row r="1378" spans="1:33" x14ac:dyDescent="0.25">
      <c r="A1378" t="str">
        <f>"1538219621"</f>
        <v>1538219621</v>
      </c>
      <c r="B1378" t="str">
        <f>"03131808"</f>
        <v>03131808</v>
      </c>
      <c r="C1378" t="s">
        <v>8456</v>
      </c>
      <c r="D1378" t="s">
        <v>8457</v>
      </c>
      <c r="E1378" t="s">
        <v>8458</v>
      </c>
      <c r="L1378" t="s">
        <v>79</v>
      </c>
      <c r="M1378" t="s">
        <v>72</v>
      </c>
      <c r="R1378" t="s">
        <v>8459</v>
      </c>
      <c r="W1378" t="s">
        <v>8460</v>
      </c>
      <c r="X1378" t="s">
        <v>360</v>
      </c>
      <c r="Y1378" t="s">
        <v>307</v>
      </c>
      <c r="Z1378" t="s">
        <v>73</v>
      </c>
      <c r="AA1378" t="str">
        <f>"14020-1291"</f>
        <v>14020-1291</v>
      </c>
      <c r="AB1378" t="s">
        <v>74</v>
      </c>
      <c r="AC1378" t="s">
        <v>75</v>
      </c>
      <c r="AD1378" t="s">
        <v>72</v>
      </c>
      <c r="AE1378" t="s">
        <v>76</v>
      </c>
      <c r="AF1378" t="s">
        <v>3974</v>
      </c>
      <c r="AG1378" t="s">
        <v>77</v>
      </c>
    </row>
    <row r="1379" spans="1:33" x14ac:dyDescent="0.25">
      <c r="A1379" t="str">
        <f>"1023421211"</f>
        <v>1023421211</v>
      </c>
      <c r="B1379" t="str">
        <f>"03920716"</f>
        <v>03920716</v>
      </c>
      <c r="C1379" t="s">
        <v>8461</v>
      </c>
      <c r="D1379" t="s">
        <v>8462</v>
      </c>
      <c r="E1379" t="s">
        <v>8463</v>
      </c>
      <c r="L1379" t="s">
        <v>71</v>
      </c>
      <c r="M1379" t="s">
        <v>72</v>
      </c>
      <c r="R1379" t="s">
        <v>8463</v>
      </c>
      <c r="W1379" t="s">
        <v>8464</v>
      </c>
      <c r="X1379" t="s">
        <v>8465</v>
      </c>
      <c r="Y1379" t="s">
        <v>209</v>
      </c>
      <c r="Z1379" t="s">
        <v>73</v>
      </c>
      <c r="AA1379" t="str">
        <f>"14304-1251"</f>
        <v>14304-1251</v>
      </c>
      <c r="AB1379" t="s">
        <v>74</v>
      </c>
      <c r="AC1379" t="s">
        <v>75</v>
      </c>
      <c r="AD1379" t="s">
        <v>72</v>
      </c>
      <c r="AE1379" t="s">
        <v>76</v>
      </c>
      <c r="AG1379" t="s">
        <v>77</v>
      </c>
    </row>
    <row r="1380" spans="1:33" x14ac:dyDescent="0.25">
      <c r="A1380" t="str">
        <f>"1215121215"</f>
        <v>1215121215</v>
      </c>
      <c r="B1380" t="str">
        <f>"02333071"</f>
        <v>02333071</v>
      </c>
      <c r="C1380" t="s">
        <v>8466</v>
      </c>
      <c r="D1380" t="s">
        <v>8467</v>
      </c>
      <c r="E1380" t="s">
        <v>8468</v>
      </c>
      <c r="L1380" t="s">
        <v>79</v>
      </c>
      <c r="M1380" t="s">
        <v>72</v>
      </c>
      <c r="R1380" t="s">
        <v>8469</v>
      </c>
      <c r="W1380" t="s">
        <v>8468</v>
      </c>
      <c r="X1380" t="s">
        <v>1768</v>
      </c>
      <c r="Y1380" t="s">
        <v>228</v>
      </c>
      <c r="Z1380" t="s">
        <v>73</v>
      </c>
      <c r="AA1380" t="str">
        <f>"14226-2500"</f>
        <v>14226-2500</v>
      </c>
      <c r="AB1380" t="s">
        <v>74</v>
      </c>
      <c r="AC1380" t="s">
        <v>75</v>
      </c>
      <c r="AD1380" t="s">
        <v>72</v>
      </c>
      <c r="AE1380" t="s">
        <v>76</v>
      </c>
      <c r="AF1380" t="s">
        <v>3974</v>
      </c>
      <c r="AG1380" t="s">
        <v>77</v>
      </c>
    </row>
    <row r="1381" spans="1:33" x14ac:dyDescent="0.25">
      <c r="A1381" t="str">
        <f>"1740593425"</f>
        <v>1740593425</v>
      </c>
      <c r="B1381" t="str">
        <f>"03435641"</f>
        <v>03435641</v>
      </c>
      <c r="C1381" t="s">
        <v>8470</v>
      </c>
      <c r="D1381" t="s">
        <v>8471</v>
      </c>
      <c r="E1381" t="s">
        <v>8472</v>
      </c>
      <c r="L1381" t="s">
        <v>79</v>
      </c>
      <c r="M1381" t="s">
        <v>72</v>
      </c>
      <c r="R1381" t="s">
        <v>8473</v>
      </c>
      <c r="W1381" t="s">
        <v>8474</v>
      </c>
      <c r="X1381" t="s">
        <v>3776</v>
      </c>
      <c r="Y1381" t="s">
        <v>237</v>
      </c>
      <c r="Z1381" t="s">
        <v>73</v>
      </c>
      <c r="AA1381" t="str">
        <f>"14224-3445"</f>
        <v>14224-3445</v>
      </c>
      <c r="AB1381" t="s">
        <v>74</v>
      </c>
      <c r="AC1381" t="s">
        <v>75</v>
      </c>
      <c r="AD1381" t="s">
        <v>72</v>
      </c>
      <c r="AE1381" t="s">
        <v>76</v>
      </c>
      <c r="AF1381" t="s">
        <v>3961</v>
      </c>
      <c r="AG1381" t="s">
        <v>77</v>
      </c>
    </row>
    <row r="1382" spans="1:33" x14ac:dyDescent="0.25">
      <c r="A1382" t="str">
        <f>"1619998374"</f>
        <v>1619998374</v>
      </c>
      <c r="B1382" t="str">
        <f>"02345682"</f>
        <v>02345682</v>
      </c>
      <c r="C1382" t="s">
        <v>8475</v>
      </c>
      <c r="D1382" t="s">
        <v>8476</v>
      </c>
      <c r="E1382" t="s">
        <v>8477</v>
      </c>
      <c r="L1382" t="s">
        <v>79</v>
      </c>
      <c r="M1382" t="s">
        <v>72</v>
      </c>
      <c r="R1382" t="s">
        <v>8477</v>
      </c>
      <c r="W1382" t="s">
        <v>8477</v>
      </c>
      <c r="X1382" t="s">
        <v>1696</v>
      </c>
      <c r="Y1382" t="s">
        <v>326</v>
      </c>
      <c r="Z1382" t="s">
        <v>73</v>
      </c>
      <c r="AA1382" t="str">
        <f>"14127-1732"</f>
        <v>14127-1732</v>
      </c>
      <c r="AB1382" t="s">
        <v>74</v>
      </c>
      <c r="AC1382" t="s">
        <v>75</v>
      </c>
      <c r="AD1382" t="s">
        <v>72</v>
      </c>
      <c r="AE1382" t="s">
        <v>76</v>
      </c>
      <c r="AF1382" t="s">
        <v>3961</v>
      </c>
      <c r="AG1382" t="s">
        <v>77</v>
      </c>
    </row>
    <row r="1383" spans="1:33" x14ac:dyDescent="0.25">
      <c r="A1383" t="str">
        <f>"1538366257"</f>
        <v>1538366257</v>
      </c>
      <c r="B1383" t="str">
        <f>"02979500"</f>
        <v>02979500</v>
      </c>
      <c r="C1383" t="s">
        <v>8478</v>
      </c>
      <c r="D1383" t="s">
        <v>1348</v>
      </c>
      <c r="E1383" t="s">
        <v>1349</v>
      </c>
      <c r="L1383" t="s">
        <v>71</v>
      </c>
      <c r="M1383" t="s">
        <v>72</v>
      </c>
      <c r="R1383" t="s">
        <v>1349</v>
      </c>
      <c r="W1383" t="s">
        <v>1350</v>
      </c>
      <c r="X1383" t="s">
        <v>1320</v>
      </c>
      <c r="Y1383" t="s">
        <v>117</v>
      </c>
      <c r="Z1383" t="s">
        <v>73</v>
      </c>
      <c r="AA1383" t="str">
        <f>"14215-1145"</f>
        <v>14215-1145</v>
      </c>
      <c r="AB1383" t="s">
        <v>74</v>
      </c>
      <c r="AC1383" t="s">
        <v>75</v>
      </c>
      <c r="AD1383" t="s">
        <v>72</v>
      </c>
      <c r="AE1383" t="s">
        <v>76</v>
      </c>
      <c r="AF1383" t="s">
        <v>3974</v>
      </c>
      <c r="AG1383" t="s">
        <v>77</v>
      </c>
    </row>
    <row r="1384" spans="1:33" x14ac:dyDescent="0.25">
      <c r="A1384" t="str">
        <f>"1164600144"</f>
        <v>1164600144</v>
      </c>
      <c r="B1384" t="str">
        <f>"02675496"</f>
        <v>02675496</v>
      </c>
      <c r="C1384" t="s">
        <v>8479</v>
      </c>
      <c r="D1384" t="s">
        <v>2756</v>
      </c>
      <c r="E1384" t="s">
        <v>2757</v>
      </c>
      <c r="L1384" t="s">
        <v>71</v>
      </c>
      <c r="M1384" t="s">
        <v>72</v>
      </c>
      <c r="R1384" t="s">
        <v>2758</v>
      </c>
      <c r="W1384" t="s">
        <v>2757</v>
      </c>
      <c r="X1384" t="s">
        <v>2244</v>
      </c>
      <c r="Y1384" t="s">
        <v>436</v>
      </c>
      <c r="Z1384" t="s">
        <v>73</v>
      </c>
      <c r="AA1384" t="str">
        <f>"14217-1339"</f>
        <v>14217-1339</v>
      </c>
      <c r="AB1384" t="s">
        <v>74</v>
      </c>
      <c r="AC1384" t="s">
        <v>75</v>
      </c>
      <c r="AD1384" t="s">
        <v>72</v>
      </c>
      <c r="AE1384" t="s">
        <v>76</v>
      </c>
      <c r="AG1384" t="s">
        <v>77</v>
      </c>
    </row>
    <row r="1385" spans="1:33" x14ac:dyDescent="0.25">
      <c r="A1385" t="str">
        <f>"1710904768"</f>
        <v>1710904768</v>
      </c>
      <c r="B1385" t="str">
        <f>"03073365"</f>
        <v>03073365</v>
      </c>
      <c r="C1385" t="s">
        <v>8480</v>
      </c>
      <c r="D1385" t="s">
        <v>2641</v>
      </c>
      <c r="E1385" t="s">
        <v>2642</v>
      </c>
      <c r="L1385" t="s">
        <v>79</v>
      </c>
      <c r="M1385" t="s">
        <v>72</v>
      </c>
      <c r="R1385" t="s">
        <v>2643</v>
      </c>
      <c r="W1385" t="s">
        <v>2644</v>
      </c>
      <c r="X1385" t="s">
        <v>1768</v>
      </c>
      <c r="Y1385" t="s">
        <v>228</v>
      </c>
      <c r="Z1385" t="s">
        <v>73</v>
      </c>
      <c r="AA1385" t="str">
        <f>"14226-2500"</f>
        <v>14226-2500</v>
      </c>
      <c r="AB1385" t="s">
        <v>74</v>
      </c>
      <c r="AC1385" t="s">
        <v>75</v>
      </c>
      <c r="AD1385" t="s">
        <v>72</v>
      </c>
      <c r="AE1385" t="s">
        <v>76</v>
      </c>
      <c r="AF1385" t="s">
        <v>3974</v>
      </c>
      <c r="AG1385" t="s">
        <v>77</v>
      </c>
    </row>
    <row r="1386" spans="1:33" x14ac:dyDescent="0.25">
      <c r="A1386" t="str">
        <f>"1548594013"</f>
        <v>1548594013</v>
      </c>
      <c r="B1386" t="str">
        <f>"03156645"</f>
        <v>03156645</v>
      </c>
      <c r="C1386" t="s">
        <v>8481</v>
      </c>
      <c r="D1386" t="s">
        <v>8482</v>
      </c>
      <c r="E1386" t="s">
        <v>8483</v>
      </c>
      <c r="L1386" t="s">
        <v>79</v>
      </c>
      <c r="M1386" t="s">
        <v>72</v>
      </c>
      <c r="R1386" t="s">
        <v>8484</v>
      </c>
      <c r="W1386" t="s">
        <v>8485</v>
      </c>
      <c r="X1386" t="s">
        <v>5884</v>
      </c>
      <c r="Y1386" t="s">
        <v>326</v>
      </c>
      <c r="Z1386" t="s">
        <v>73</v>
      </c>
      <c r="AA1386" t="str">
        <f>"14127-1705"</f>
        <v>14127-1705</v>
      </c>
      <c r="AB1386" t="s">
        <v>74</v>
      </c>
      <c r="AC1386" t="s">
        <v>75</v>
      </c>
      <c r="AD1386" t="s">
        <v>72</v>
      </c>
      <c r="AE1386" t="s">
        <v>76</v>
      </c>
      <c r="AF1386" t="s">
        <v>3961</v>
      </c>
      <c r="AG1386" t="s">
        <v>77</v>
      </c>
    </row>
    <row r="1387" spans="1:33" x14ac:dyDescent="0.25">
      <c r="A1387" t="str">
        <f>"1023284361"</f>
        <v>1023284361</v>
      </c>
      <c r="C1387" t="s">
        <v>8486</v>
      </c>
      <c r="K1387" t="s">
        <v>89</v>
      </c>
      <c r="L1387" t="s">
        <v>71</v>
      </c>
      <c r="M1387" t="s">
        <v>72</v>
      </c>
      <c r="R1387" t="s">
        <v>1982</v>
      </c>
      <c r="S1387" t="s">
        <v>1983</v>
      </c>
      <c r="T1387" t="s">
        <v>228</v>
      </c>
      <c r="U1387" t="s">
        <v>73</v>
      </c>
      <c r="V1387" t="str">
        <f>"142261200"</f>
        <v>142261200</v>
      </c>
      <c r="AC1387" t="s">
        <v>75</v>
      </c>
      <c r="AD1387" t="s">
        <v>72</v>
      </c>
      <c r="AE1387" t="s">
        <v>93</v>
      </c>
      <c r="AF1387" t="s">
        <v>3974</v>
      </c>
      <c r="AG1387" t="s">
        <v>77</v>
      </c>
    </row>
    <row r="1388" spans="1:33" x14ac:dyDescent="0.25">
      <c r="A1388" t="str">
        <f>"1699088773"</f>
        <v>1699088773</v>
      </c>
      <c r="B1388" t="str">
        <f>"04330690"</f>
        <v>04330690</v>
      </c>
      <c r="C1388" t="s">
        <v>8487</v>
      </c>
      <c r="D1388" t="s">
        <v>8488</v>
      </c>
      <c r="E1388" t="s">
        <v>8489</v>
      </c>
      <c r="L1388" t="s">
        <v>71</v>
      </c>
      <c r="M1388" t="s">
        <v>72</v>
      </c>
      <c r="R1388" t="s">
        <v>8490</v>
      </c>
      <c r="W1388" t="s">
        <v>8489</v>
      </c>
      <c r="X1388" t="s">
        <v>2078</v>
      </c>
      <c r="Y1388" t="s">
        <v>117</v>
      </c>
      <c r="Z1388" t="s">
        <v>73</v>
      </c>
      <c r="AA1388" t="str">
        <f>"14221-6060"</f>
        <v>14221-6060</v>
      </c>
      <c r="AB1388" t="s">
        <v>74</v>
      </c>
      <c r="AC1388" t="s">
        <v>75</v>
      </c>
      <c r="AD1388" t="s">
        <v>72</v>
      </c>
      <c r="AE1388" t="s">
        <v>76</v>
      </c>
      <c r="AF1388" t="s">
        <v>3961</v>
      </c>
      <c r="AG1388" t="s">
        <v>77</v>
      </c>
    </row>
    <row r="1389" spans="1:33" x14ac:dyDescent="0.25">
      <c r="A1389" t="str">
        <f>"1659378180"</f>
        <v>1659378180</v>
      </c>
      <c r="B1389" t="str">
        <f>"02555686"</f>
        <v>02555686</v>
      </c>
      <c r="C1389" t="s">
        <v>8491</v>
      </c>
      <c r="D1389" t="s">
        <v>8492</v>
      </c>
      <c r="E1389" t="s">
        <v>8493</v>
      </c>
      <c r="L1389" t="s">
        <v>79</v>
      </c>
      <c r="M1389" t="s">
        <v>72</v>
      </c>
      <c r="R1389" t="s">
        <v>8494</v>
      </c>
      <c r="W1389" t="s">
        <v>8493</v>
      </c>
      <c r="X1389" t="s">
        <v>566</v>
      </c>
      <c r="Y1389" t="s">
        <v>247</v>
      </c>
      <c r="Z1389" t="s">
        <v>73</v>
      </c>
      <c r="AA1389" t="str">
        <f>"14225-2591"</f>
        <v>14225-2591</v>
      </c>
      <c r="AB1389" t="s">
        <v>74</v>
      </c>
      <c r="AC1389" t="s">
        <v>75</v>
      </c>
      <c r="AD1389" t="s">
        <v>72</v>
      </c>
      <c r="AE1389" t="s">
        <v>76</v>
      </c>
      <c r="AF1389" t="s">
        <v>3974</v>
      </c>
      <c r="AG1389" t="s">
        <v>77</v>
      </c>
    </row>
    <row r="1390" spans="1:33" x14ac:dyDescent="0.25">
      <c r="A1390" t="str">
        <f>"1033373824"</f>
        <v>1033373824</v>
      </c>
      <c r="B1390" t="str">
        <f>"03093730"</f>
        <v>03093730</v>
      </c>
      <c r="C1390" t="s">
        <v>8495</v>
      </c>
      <c r="D1390" t="s">
        <v>8496</v>
      </c>
      <c r="E1390" t="s">
        <v>8497</v>
      </c>
      <c r="L1390" t="s">
        <v>71</v>
      </c>
      <c r="M1390" t="s">
        <v>72</v>
      </c>
      <c r="R1390" t="s">
        <v>8498</v>
      </c>
      <c r="W1390" t="s">
        <v>8499</v>
      </c>
      <c r="X1390" t="s">
        <v>295</v>
      </c>
      <c r="Y1390" t="s">
        <v>117</v>
      </c>
      <c r="Z1390" t="s">
        <v>73</v>
      </c>
      <c r="AA1390" t="str">
        <f>"14215-3021"</f>
        <v>14215-3021</v>
      </c>
      <c r="AB1390" t="s">
        <v>74</v>
      </c>
      <c r="AC1390" t="s">
        <v>75</v>
      </c>
      <c r="AD1390" t="s">
        <v>72</v>
      </c>
      <c r="AE1390" t="s">
        <v>76</v>
      </c>
      <c r="AF1390" t="s">
        <v>3974</v>
      </c>
      <c r="AG1390" t="s">
        <v>77</v>
      </c>
    </row>
    <row r="1391" spans="1:33" x14ac:dyDescent="0.25">
      <c r="A1391" t="str">
        <f>"1740266139"</f>
        <v>1740266139</v>
      </c>
      <c r="B1391" t="str">
        <f>"02343988"</f>
        <v>02343988</v>
      </c>
      <c r="C1391" t="s">
        <v>8500</v>
      </c>
      <c r="D1391" t="s">
        <v>2466</v>
      </c>
      <c r="E1391" t="s">
        <v>2467</v>
      </c>
      <c r="L1391" t="s">
        <v>79</v>
      </c>
      <c r="M1391" t="s">
        <v>72</v>
      </c>
      <c r="R1391" t="s">
        <v>2468</v>
      </c>
      <c r="W1391" t="s">
        <v>2467</v>
      </c>
      <c r="X1391" t="s">
        <v>1768</v>
      </c>
      <c r="Y1391" t="s">
        <v>228</v>
      </c>
      <c r="Z1391" t="s">
        <v>73</v>
      </c>
      <c r="AA1391" t="str">
        <f>"14226-2500"</f>
        <v>14226-2500</v>
      </c>
      <c r="AB1391" t="s">
        <v>74</v>
      </c>
      <c r="AC1391" t="s">
        <v>75</v>
      </c>
      <c r="AD1391" t="s">
        <v>72</v>
      </c>
      <c r="AE1391" t="s">
        <v>76</v>
      </c>
      <c r="AF1391" t="s">
        <v>3974</v>
      </c>
      <c r="AG1391" t="s">
        <v>77</v>
      </c>
    </row>
    <row r="1392" spans="1:33" x14ac:dyDescent="0.25">
      <c r="A1392" t="str">
        <f>"1598993339"</f>
        <v>1598993339</v>
      </c>
      <c r="B1392" t="str">
        <f>"03121602"</f>
        <v>03121602</v>
      </c>
      <c r="C1392" t="s">
        <v>8501</v>
      </c>
      <c r="D1392" t="s">
        <v>8502</v>
      </c>
      <c r="E1392" t="s">
        <v>8503</v>
      </c>
      <c r="L1392" t="s">
        <v>71</v>
      </c>
      <c r="M1392" t="s">
        <v>72</v>
      </c>
      <c r="R1392" t="s">
        <v>8504</v>
      </c>
      <c r="W1392" t="s">
        <v>8503</v>
      </c>
      <c r="X1392" t="s">
        <v>1194</v>
      </c>
      <c r="Y1392" t="s">
        <v>237</v>
      </c>
      <c r="Z1392" t="s">
        <v>73</v>
      </c>
      <c r="AA1392" t="str">
        <f>"14224-2654"</f>
        <v>14224-2654</v>
      </c>
      <c r="AB1392" t="s">
        <v>74</v>
      </c>
      <c r="AC1392" t="s">
        <v>75</v>
      </c>
      <c r="AD1392" t="s">
        <v>72</v>
      </c>
      <c r="AE1392" t="s">
        <v>76</v>
      </c>
      <c r="AF1392" t="s">
        <v>3974</v>
      </c>
      <c r="AG1392" t="s">
        <v>77</v>
      </c>
    </row>
    <row r="1393" spans="1:33" x14ac:dyDescent="0.25">
      <c r="A1393" t="str">
        <f>"1114993854"</f>
        <v>1114993854</v>
      </c>
      <c r="B1393" t="str">
        <f>"01528990"</f>
        <v>01528990</v>
      </c>
      <c r="C1393" t="s">
        <v>8505</v>
      </c>
      <c r="D1393" t="s">
        <v>8506</v>
      </c>
      <c r="E1393" t="s">
        <v>8507</v>
      </c>
      <c r="L1393" t="s">
        <v>80</v>
      </c>
      <c r="M1393" t="s">
        <v>72</v>
      </c>
      <c r="R1393" t="s">
        <v>8508</v>
      </c>
      <c r="W1393" t="s">
        <v>8507</v>
      </c>
      <c r="X1393" t="s">
        <v>642</v>
      </c>
      <c r="Y1393" t="s">
        <v>117</v>
      </c>
      <c r="Z1393" t="s">
        <v>73</v>
      </c>
      <c r="AA1393" t="str">
        <f>"14223-2819"</f>
        <v>14223-2819</v>
      </c>
      <c r="AB1393" t="s">
        <v>74</v>
      </c>
      <c r="AC1393" t="s">
        <v>75</v>
      </c>
      <c r="AD1393" t="s">
        <v>72</v>
      </c>
      <c r="AE1393" t="s">
        <v>76</v>
      </c>
      <c r="AF1393" t="s">
        <v>4431</v>
      </c>
      <c r="AG1393" t="s">
        <v>77</v>
      </c>
    </row>
    <row r="1394" spans="1:33" x14ac:dyDescent="0.25">
      <c r="A1394" t="str">
        <f>"1013274828"</f>
        <v>1013274828</v>
      </c>
      <c r="B1394" t="str">
        <f>"03463403"</f>
        <v>03463403</v>
      </c>
      <c r="C1394" t="s">
        <v>8509</v>
      </c>
      <c r="D1394" t="s">
        <v>8510</v>
      </c>
      <c r="E1394" t="s">
        <v>8511</v>
      </c>
      <c r="L1394" t="s">
        <v>71</v>
      </c>
      <c r="M1394" t="s">
        <v>72</v>
      </c>
      <c r="R1394" t="s">
        <v>8512</v>
      </c>
      <c r="W1394" t="s">
        <v>8513</v>
      </c>
      <c r="X1394" t="s">
        <v>1900</v>
      </c>
      <c r="Y1394" t="s">
        <v>228</v>
      </c>
      <c r="Z1394" t="s">
        <v>73</v>
      </c>
      <c r="AA1394" t="str">
        <f>"14226-1746"</f>
        <v>14226-1746</v>
      </c>
      <c r="AB1394" t="s">
        <v>74</v>
      </c>
      <c r="AC1394" t="s">
        <v>75</v>
      </c>
      <c r="AD1394" t="s">
        <v>72</v>
      </c>
      <c r="AE1394" t="s">
        <v>76</v>
      </c>
      <c r="AF1394" t="s">
        <v>3974</v>
      </c>
      <c r="AG1394" t="s">
        <v>77</v>
      </c>
    </row>
    <row r="1395" spans="1:33" x14ac:dyDescent="0.25">
      <c r="A1395" t="str">
        <f>"1821368291"</f>
        <v>1821368291</v>
      </c>
      <c r="B1395" t="str">
        <f>"03435545"</f>
        <v>03435545</v>
      </c>
      <c r="C1395" t="s">
        <v>8514</v>
      </c>
      <c r="D1395" t="s">
        <v>8515</v>
      </c>
      <c r="E1395" t="s">
        <v>8516</v>
      </c>
      <c r="L1395" t="s">
        <v>71</v>
      </c>
      <c r="M1395" t="s">
        <v>72</v>
      </c>
      <c r="R1395" t="s">
        <v>8517</v>
      </c>
      <c r="W1395" t="s">
        <v>8516</v>
      </c>
      <c r="X1395" t="s">
        <v>1900</v>
      </c>
      <c r="Y1395" t="s">
        <v>228</v>
      </c>
      <c r="Z1395" t="s">
        <v>73</v>
      </c>
      <c r="AA1395" t="str">
        <f>"14226-1746"</f>
        <v>14226-1746</v>
      </c>
      <c r="AB1395" t="s">
        <v>74</v>
      </c>
      <c r="AC1395" t="s">
        <v>75</v>
      </c>
      <c r="AD1395" t="s">
        <v>72</v>
      </c>
      <c r="AE1395" t="s">
        <v>76</v>
      </c>
      <c r="AF1395" t="s">
        <v>3974</v>
      </c>
      <c r="AG1395" t="s">
        <v>77</v>
      </c>
    </row>
    <row r="1396" spans="1:33" x14ac:dyDescent="0.25">
      <c r="A1396" t="str">
        <f>"1457792954"</f>
        <v>1457792954</v>
      </c>
      <c r="B1396" t="str">
        <f>"03642028"</f>
        <v>03642028</v>
      </c>
      <c r="C1396" t="s">
        <v>8518</v>
      </c>
      <c r="D1396" t="s">
        <v>795</v>
      </c>
      <c r="E1396" t="s">
        <v>796</v>
      </c>
      <c r="L1396" t="s">
        <v>71</v>
      </c>
      <c r="M1396" t="s">
        <v>72</v>
      </c>
      <c r="R1396" t="s">
        <v>797</v>
      </c>
      <c r="W1396" t="s">
        <v>796</v>
      </c>
      <c r="X1396" t="s">
        <v>798</v>
      </c>
      <c r="Y1396" t="s">
        <v>221</v>
      </c>
      <c r="Z1396" t="s">
        <v>73</v>
      </c>
      <c r="AA1396" t="str">
        <f>"14221-2917"</f>
        <v>14221-2917</v>
      </c>
      <c r="AB1396" t="s">
        <v>74</v>
      </c>
      <c r="AC1396" t="s">
        <v>75</v>
      </c>
      <c r="AD1396" t="s">
        <v>72</v>
      </c>
      <c r="AE1396" t="s">
        <v>76</v>
      </c>
      <c r="AF1396" t="s">
        <v>4043</v>
      </c>
      <c r="AG1396" t="s">
        <v>77</v>
      </c>
    </row>
    <row r="1397" spans="1:33" x14ac:dyDescent="0.25">
      <c r="A1397" t="str">
        <f>"1427002302"</f>
        <v>1427002302</v>
      </c>
      <c r="B1397" t="str">
        <f>"01126952"</f>
        <v>01126952</v>
      </c>
      <c r="C1397" t="s">
        <v>8519</v>
      </c>
      <c r="D1397" t="s">
        <v>8520</v>
      </c>
      <c r="E1397" t="s">
        <v>8521</v>
      </c>
      <c r="G1397" t="s">
        <v>3969</v>
      </c>
      <c r="H1397" t="s">
        <v>3970</v>
      </c>
      <c r="J1397" t="s">
        <v>3971</v>
      </c>
      <c r="L1397" t="s">
        <v>79</v>
      </c>
      <c r="M1397" t="s">
        <v>72</v>
      </c>
      <c r="R1397" t="s">
        <v>8522</v>
      </c>
      <c r="W1397" t="s">
        <v>8521</v>
      </c>
      <c r="X1397" t="s">
        <v>220</v>
      </c>
      <c r="Y1397" t="s">
        <v>221</v>
      </c>
      <c r="Z1397" t="s">
        <v>73</v>
      </c>
      <c r="AA1397" t="str">
        <f>"14221-3647"</f>
        <v>14221-3647</v>
      </c>
      <c r="AB1397" t="s">
        <v>74</v>
      </c>
      <c r="AC1397" t="s">
        <v>75</v>
      </c>
      <c r="AD1397" t="s">
        <v>72</v>
      </c>
      <c r="AE1397" t="s">
        <v>76</v>
      </c>
      <c r="AF1397" t="s">
        <v>3974</v>
      </c>
      <c r="AG1397" t="s">
        <v>77</v>
      </c>
    </row>
    <row r="1398" spans="1:33" x14ac:dyDescent="0.25">
      <c r="A1398" t="str">
        <f>"1043296759"</f>
        <v>1043296759</v>
      </c>
      <c r="B1398" t="str">
        <f>"00963722"</f>
        <v>00963722</v>
      </c>
      <c r="C1398" t="s">
        <v>8523</v>
      </c>
      <c r="D1398" t="s">
        <v>3002</v>
      </c>
      <c r="E1398" t="s">
        <v>3003</v>
      </c>
      <c r="G1398" t="s">
        <v>5001</v>
      </c>
      <c r="H1398" t="s">
        <v>640</v>
      </c>
      <c r="J1398" t="s">
        <v>5002</v>
      </c>
      <c r="L1398" t="s">
        <v>80</v>
      </c>
      <c r="M1398" t="s">
        <v>72</v>
      </c>
      <c r="R1398" t="s">
        <v>3004</v>
      </c>
      <c r="W1398" t="s">
        <v>3003</v>
      </c>
      <c r="X1398" t="s">
        <v>2473</v>
      </c>
      <c r="Y1398" t="s">
        <v>117</v>
      </c>
      <c r="Z1398" t="s">
        <v>73</v>
      </c>
      <c r="AA1398" t="str">
        <f>"14209-1603"</f>
        <v>14209-1603</v>
      </c>
      <c r="AB1398" t="s">
        <v>74</v>
      </c>
      <c r="AC1398" t="s">
        <v>75</v>
      </c>
      <c r="AD1398" t="s">
        <v>72</v>
      </c>
      <c r="AE1398" t="s">
        <v>76</v>
      </c>
      <c r="AF1398" t="s">
        <v>3961</v>
      </c>
      <c r="AG1398" t="s">
        <v>77</v>
      </c>
    </row>
    <row r="1399" spans="1:33" x14ac:dyDescent="0.25">
      <c r="A1399" t="str">
        <f>"1447214903"</f>
        <v>1447214903</v>
      </c>
      <c r="B1399" t="str">
        <f>"01055132"</f>
        <v>01055132</v>
      </c>
      <c r="C1399" t="s">
        <v>8524</v>
      </c>
      <c r="D1399" t="s">
        <v>8525</v>
      </c>
      <c r="E1399" t="s">
        <v>8526</v>
      </c>
      <c r="G1399" t="s">
        <v>8527</v>
      </c>
      <c r="H1399" t="s">
        <v>8528</v>
      </c>
      <c r="J1399" t="s">
        <v>8529</v>
      </c>
      <c r="L1399" t="s">
        <v>80</v>
      </c>
      <c r="M1399" t="s">
        <v>72</v>
      </c>
      <c r="R1399" t="s">
        <v>3944</v>
      </c>
      <c r="W1399" t="s">
        <v>8526</v>
      </c>
      <c r="X1399" t="s">
        <v>8530</v>
      </c>
      <c r="Y1399" t="s">
        <v>1079</v>
      </c>
      <c r="Z1399" t="s">
        <v>73</v>
      </c>
      <c r="AA1399" t="str">
        <f>"14075-4470"</f>
        <v>14075-4470</v>
      </c>
      <c r="AB1399" t="s">
        <v>74</v>
      </c>
      <c r="AC1399" t="s">
        <v>75</v>
      </c>
      <c r="AD1399" t="s">
        <v>72</v>
      </c>
      <c r="AE1399" t="s">
        <v>76</v>
      </c>
      <c r="AF1399" t="s">
        <v>3961</v>
      </c>
      <c r="AG1399" t="s">
        <v>77</v>
      </c>
    </row>
    <row r="1400" spans="1:33" x14ac:dyDescent="0.25">
      <c r="A1400" t="str">
        <f>"1629068408"</f>
        <v>1629068408</v>
      </c>
      <c r="B1400" t="str">
        <f>"00862042"</f>
        <v>00862042</v>
      </c>
      <c r="C1400" t="s">
        <v>8531</v>
      </c>
      <c r="D1400" t="s">
        <v>3055</v>
      </c>
      <c r="E1400" t="s">
        <v>3056</v>
      </c>
      <c r="G1400" t="s">
        <v>6648</v>
      </c>
      <c r="H1400" t="s">
        <v>1183</v>
      </c>
      <c r="J1400" t="s">
        <v>6649</v>
      </c>
      <c r="L1400" t="s">
        <v>80</v>
      </c>
      <c r="M1400" t="s">
        <v>72</v>
      </c>
      <c r="R1400" t="s">
        <v>3057</v>
      </c>
      <c r="W1400" t="s">
        <v>3058</v>
      </c>
      <c r="X1400" t="s">
        <v>243</v>
      </c>
      <c r="Y1400" t="s">
        <v>117</v>
      </c>
      <c r="Z1400" t="s">
        <v>73</v>
      </c>
      <c r="AA1400" t="str">
        <f>"14203-1126"</f>
        <v>14203-1126</v>
      </c>
      <c r="AB1400" t="s">
        <v>74</v>
      </c>
      <c r="AC1400" t="s">
        <v>75</v>
      </c>
      <c r="AD1400" t="s">
        <v>72</v>
      </c>
      <c r="AE1400" t="s">
        <v>76</v>
      </c>
      <c r="AF1400" t="s">
        <v>3961</v>
      </c>
      <c r="AG1400" t="s">
        <v>77</v>
      </c>
    </row>
    <row r="1401" spans="1:33" x14ac:dyDescent="0.25">
      <c r="A1401" t="str">
        <f>"1255393708"</f>
        <v>1255393708</v>
      </c>
      <c r="B1401" t="str">
        <f>"01044673"</f>
        <v>01044673</v>
      </c>
      <c r="C1401" t="s">
        <v>8532</v>
      </c>
      <c r="D1401" t="s">
        <v>2410</v>
      </c>
      <c r="E1401" t="s">
        <v>2411</v>
      </c>
      <c r="G1401" t="s">
        <v>7061</v>
      </c>
      <c r="H1401" t="s">
        <v>1711</v>
      </c>
      <c r="J1401" t="s">
        <v>7062</v>
      </c>
      <c r="L1401" t="s">
        <v>80</v>
      </c>
      <c r="M1401" t="s">
        <v>72</v>
      </c>
      <c r="R1401" t="s">
        <v>2412</v>
      </c>
      <c r="W1401" t="s">
        <v>2411</v>
      </c>
      <c r="X1401" t="s">
        <v>234</v>
      </c>
      <c r="Y1401" t="s">
        <v>117</v>
      </c>
      <c r="Z1401" t="s">
        <v>73</v>
      </c>
      <c r="AA1401" t="str">
        <f>"14220-2039"</f>
        <v>14220-2039</v>
      </c>
      <c r="AB1401" t="s">
        <v>74</v>
      </c>
      <c r="AC1401" t="s">
        <v>75</v>
      </c>
      <c r="AD1401" t="s">
        <v>72</v>
      </c>
      <c r="AE1401" t="s">
        <v>76</v>
      </c>
      <c r="AF1401" t="s">
        <v>3961</v>
      </c>
      <c r="AG1401" t="s">
        <v>77</v>
      </c>
    </row>
    <row r="1402" spans="1:33" x14ac:dyDescent="0.25">
      <c r="A1402" t="str">
        <f>"1053433243"</f>
        <v>1053433243</v>
      </c>
      <c r="B1402" t="str">
        <f>"03198294"</f>
        <v>03198294</v>
      </c>
      <c r="C1402" t="s">
        <v>8533</v>
      </c>
      <c r="D1402" t="s">
        <v>3174</v>
      </c>
      <c r="E1402" t="s">
        <v>3175</v>
      </c>
      <c r="G1402" t="s">
        <v>3988</v>
      </c>
      <c r="H1402" t="s">
        <v>1302</v>
      </c>
      <c r="J1402" t="s">
        <v>3989</v>
      </c>
      <c r="L1402" t="s">
        <v>79</v>
      </c>
      <c r="M1402" t="s">
        <v>72</v>
      </c>
      <c r="R1402" t="s">
        <v>3176</v>
      </c>
      <c r="W1402" t="s">
        <v>3175</v>
      </c>
      <c r="X1402" t="s">
        <v>1070</v>
      </c>
      <c r="Y1402" t="s">
        <v>221</v>
      </c>
      <c r="Z1402" t="s">
        <v>73</v>
      </c>
      <c r="AA1402" t="str">
        <f>"14221-5838"</f>
        <v>14221-5838</v>
      </c>
      <c r="AB1402" t="s">
        <v>74</v>
      </c>
      <c r="AC1402" t="s">
        <v>75</v>
      </c>
      <c r="AD1402" t="s">
        <v>72</v>
      </c>
      <c r="AE1402" t="s">
        <v>76</v>
      </c>
      <c r="AF1402" t="s">
        <v>3974</v>
      </c>
      <c r="AG1402" t="s">
        <v>77</v>
      </c>
    </row>
    <row r="1403" spans="1:33" x14ac:dyDescent="0.25">
      <c r="A1403" t="str">
        <f>"1841287687"</f>
        <v>1841287687</v>
      </c>
      <c r="B1403" t="str">
        <f>"01018524"</f>
        <v>01018524</v>
      </c>
      <c r="C1403" t="s">
        <v>8534</v>
      </c>
      <c r="D1403" t="s">
        <v>8535</v>
      </c>
      <c r="E1403" t="s">
        <v>8536</v>
      </c>
      <c r="G1403" t="s">
        <v>7005</v>
      </c>
      <c r="H1403" t="s">
        <v>2771</v>
      </c>
      <c r="J1403" t="s">
        <v>7006</v>
      </c>
      <c r="L1403" t="s">
        <v>80</v>
      </c>
      <c r="M1403" t="s">
        <v>72</v>
      </c>
      <c r="R1403" t="s">
        <v>8537</v>
      </c>
      <c r="W1403" t="s">
        <v>8538</v>
      </c>
      <c r="X1403" t="s">
        <v>8539</v>
      </c>
      <c r="Y1403" t="s">
        <v>479</v>
      </c>
      <c r="Z1403" t="s">
        <v>73</v>
      </c>
      <c r="AA1403" t="str">
        <f>"14141-1497"</f>
        <v>14141-1497</v>
      </c>
      <c r="AB1403" t="s">
        <v>74</v>
      </c>
      <c r="AC1403" t="s">
        <v>75</v>
      </c>
      <c r="AD1403" t="s">
        <v>72</v>
      </c>
      <c r="AE1403" t="s">
        <v>76</v>
      </c>
      <c r="AF1403" t="s">
        <v>3961</v>
      </c>
      <c r="AG1403" t="s">
        <v>77</v>
      </c>
    </row>
    <row r="1404" spans="1:33" x14ac:dyDescent="0.25">
      <c r="A1404" t="str">
        <f>"1174859664"</f>
        <v>1174859664</v>
      </c>
      <c r="B1404" t="str">
        <f>"03185839"</f>
        <v>03185839</v>
      </c>
      <c r="C1404" t="s">
        <v>8540</v>
      </c>
      <c r="D1404" t="s">
        <v>8541</v>
      </c>
      <c r="E1404" t="s">
        <v>8542</v>
      </c>
      <c r="L1404" t="s">
        <v>79</v>
      </c>
      <c r="M1404" t="s">
        <v>72</v>
      </c>
      <c r="R1404" t="s">
        <v>8543</v>
      </c>
      <c r="W1404" t="s">
        <v>8542</v>
      </c>
      <c r="X1404" t="s">
        <v>669</v>
      </c>
      <c r="Y1404" t="s">
        <v>117</v>
      </c>
      <c r="Z1404" t="s">
        <v>73</v>
      </c>
      <c r="AA1404" t="str">
        <f>"14209-1635"</f>
        <v>14209-1635</v>
      </c>
      <c r="AB1404" t="s">
        <v>74</v>
      </c>
      <c r="AC1404" t="s">
        <v>75</v>
      </c>
      <c r="AD1404" t="s">
        <v>72</v>
      </c>
      <c r="AE1404" t="s">
        <v>76</v>
      </c>
      <c r="AF1404" t="s">
        <v>3974</v>
      </c>
      <c r="AG1404" t="s">
        <v>77</v>
      </c>
    </row>
    <row r="1405" spans="1:33" x14ac:dyDescent="0.25">
      <c r="A1405" t="str">
        <f>"1023306651"</f>
        <v>1023306651</v>
      </c>
      <c r="B1405" t="str">
        <f>"03400222"</f>
        <v>03400222</v>
      </c>
      <c r="C1405" t="s">
        <v>8544</v>
      </c>
      <c r="D1405" t="s">
        <v>8545</v>
      </c>
      <c r="E1405" t="s">
        <v>8546</v>
      </c>
      <c r="L1405" t="s">
        <v>71</v>
      </c>
      <c r="M1405" t="s">
        <v>72</v>
      </c>
      <c r="R1405" t="s">
        <v>8547</v>
      </c>
      <c r="W1405" t="s">
        <v>8546</v>
      </c>
      <c r="X1405" t="s">
        <v>8548</v>
      </c>
      <c r="Y1405" t="s">
        <v>221</v>
      </c>
      <c r="Z1405" t="s">
        <v>73</v>
      </c>
      <c r="AA1405" t="str">
        <f>"14221-3267"</f>
        <v>14221-3267</v>
      </c>
      <c r="AB1405" t="s">
        <v>74</v>
      </c>
      <c r="AC1405" t="s">
        <v>75</v>
      </c>
      <c r="AD1405" t="s">
        <v>72</v>
      </c>
      <c r="AE1405" t="s">
        <v>76</v>
      </c>
      <c r="AF1405" t="s">
        <v>3974</v>
      </c>
      <c r="AG1405" t="s">
        <v>77</v>
      </c>
    </row>
    <row r="1406" spans="1:33" x14ac:dyDescent="0.25">
      <c r="A1406" t="str">
        <f>"1437211414"</f>
        <v>1437211414</v>
      </c>
      <c r="B1406" t="str">
        <f>"02389724"</f>
        <v>02389724</v>
      </c>
      <c r="C1406" t="s">
        <v>8549</v>
      </c>
      <c r="D1406" t="s">
        <v>2607</v>
      </c>
      <c r="E1406" t="s">
        <v>2608</v>
      </c>
      <c r="G1406" t="s">
        <v>4887</v>
      </c>
      <c r="H1406" t="s">
        <v>789</v>
      </c>
      <c r="J1406" t="s">
        <v>4888</v>
      </c>
      <c r="L1406" t="s">
        <v>71</v>
      </c>
      <c r="M1406" t="s">
        <v>72</v>
      </c>
      <c r="R1406" t="s">
        <v>2609</v>
      </c>
      <c r="W1406" t="s">
        <v>2608</v>
      </c>
      <c r="X1406" t="s">
        <v>393</v>
      </c>
      <c r="Y1406" t="s">
        <v>228</v>
      </c>
      <c r="Z1406" t="s">
        <v>73</v>
      </c>
      <c r="AA1406" t="str">
        <f>"14226-1727"</f>
        <v>14226-1727</v>
      </c>
      <c r="AB1406" t="s">
        <v>74</v>
      </c>
      <c r="AC1406" t="s">
        <v>75</v>
      </c>
      <c r="AD1406" t="s">
        <v>72</v>
      </c>
      <c r="AE1406" t="s">
        <v>76</v>
      </c>
      <c r="AF1406" t="s">
        <v>3974</v>
      </c>
      <c r="AG1406" t="s">
        <v>77</v>
      </c>
    </row>
    <row r="1407" spans="1:33" x14ac:dyDescent="0.25">
      <c r="A1407" t="str">
        <f>"1720057599"</f>
        <v>1720057599</v>
      </c>
      <c r="B1407" t="str">
        <f>"00723491"</f>
        <v>00723491</v>
      </c>
      <c r="C1407" t="s">
        <v>8550</v>
      </c>
      <c r="D1407" t="s">
        <v>3783</v>
      </c>
      <c r="E1407" t="s">
        <v>3784</v>
      </c>
      <c r="G1407" t="s">
        <v>4797</v>
      </c>
      <c r="H1407" t="s">
        <v>4798</v>
      </c>
      <c r="I1407">
        <v>104</v>
      </c>
      <c r="J1407" t="s">
        <v>4799</v>
      </c>
      <c r="L1407" t="s">
        <v>80</v>
      </c>
      <c r="M1407" t="s">
        <v>81</v>
      </c>
      <c r="R1407" t="s">
        <v>3785</v>
      </c>
      <c r="W1407" t="s">
        <v>3786</v>
      </c>
      <c r="X1407" t="s">
        <v>3787</v>
      </c>
      <c r="Y1407" t="s">
        <v>408</v>
      </c>
      <c r="Z1407" t="s">
        <v>73</v>
      </c>
      <c r="AA1407" t="str">
        <f>"14757-0000"</f>
        <v>14757-0000</v>
      </c>
      <c r="AB1407" t="s">
        <v>74</v>
      </c>
      <c r="AC1407" t="s">
        <v>75</v>
      </c>
      <c r="AD1407" t="s">
        <v>72</v>
      </c>
      <c r="AE1407" t="s">
        <v>76</v>
      </c>
      <c r="AF1407" t="s">
        <v>4049</v>
      </c>
      <c r="AG1407" t="s">
        <v>77</v>
      </c>
    </row>
    <row r="1408" spans="1:33" x14ac:dyDescent="0.25">
      <c r="A1408" t="str">
        <f>"1275553521"</f>
        <v>1275553521</v>
      </c>
      <c r="B1408" t="str">
        <f>"00354150"</f>
        <v>00354150</v>
      </c>
      <c r="C1408" t="s">
        <v>8551</v>
      </c>
      <c r="D1408" t="s">
        <v>8552</v>
      </c>
      <c r="E1408" t="s">
        <v>8553</v>
      </c>
      <c r="G1408" t="s">
        <v>8554</v>
      </c>
      <c r="H1408" t="s">
        <v>8555</v>
      </c>
      <c r="J1408" t="s">
        <v>8556</v>
      </c>
      <c r="L1408" t="s">
        <v>124</v>
      </c>
      <c r="M1408" t="s">
        <v>72</v>
      </c>
      <c r="R1408" t="s">
        <v>8557</v>
      </c>
      <c r="W1408" t="s">
        <v>8553</v>
      </c>
      <c r="X1408" t="s">
        <v>478</v>
      </c>
      <c r="Y1408" t="s">
        <v>479</v>
      </c>
      <c r="Z1408" t="s">
        <v>73</v>
      </c>
      <c r="AA1408" t="str">
        <f>"14141-1443"</f>
        <v>14141-1443</v>
      </c>
      <c r="AB1408" t="s">
        <v>86</v>
      </c>
      <c r="AC1408" t="s">
        <v>75</v>
      </c>
      <c r="AD1408" t="s">
        <v>72</v>
      </c>
      <c r="AE1408" t="s">
        <v>76</v>
      </c>
      <c r="AF1408" t="s">
        <v>3986</v>
      </c>
      <c r="AG1408" t="s">
        <v>77</v>
      </c>
    </row>
    <row r="1409" spans="1:33" x14ac:dyDescent="0.25">
      <c r="A1409" t="str">
        <f>"1639134174"</f>
        <v>1639134174</v>
      </c>
      <c r="B1409" t="str">
        <f>"00604953"</f>
        <v>00604953</v>
      </c>
      <c r="C1409" t="s">
        <v>8558</v>
      </c>
      <c r="D1409" t="s">
        <v>8559</v>
      </c>
      <c r="E1409" t="s">
        <v>8560</v>
      </c>
      <c r="G1409" t="s">
        <v>4505</v>
      </c>
      <c r="H1409" t="s">
        <v>4506</v>
      </c>
      <c r="J1409" t="s">
        <v>4507</v>
      </c>
      <c r="L1409" t="s">
        <v>80</v>
      </c>
      <c r="M1409" t="s">
        <v>72</v>
      </c>
      <c r="R1409" t="s">
        <v>8561</v>
      </c>
      <c r="W1409" t="s">
        <v>8560</v>
      </c>
      <c r="X1409" t="s">
        <v>8562</v>
      </c>
      <c r="Y1409" t="s">
        <v>228</v>
      </c>
      <c r="Z1409" t="s">
        <v>73</v>
      </c>
      <c r="AA1409" t="str">
        <f>"14228"</f>
        <v>14228</v>
      </c>
      <c r="AB1409" t="s">
        <v>74</v>
      </c>
      <c r="AC1409" t="s">
        <v>75</v>
      </c>
      <c r="AD1409" t="s">
        <v>72</v>
      </c>
      <c r="AE1409" t="s">
        <v>76</v>
      </c>
      <c r="AF1409" t="s">
        <v>3961</v>
      </c>
      <c r="AG1409" t="s">
        <v>77</v>
      </c>
    </row>
    <row r="1410" spans="1:33" x14ac:dyDescent="0.25">
      <c r="A1410" t="str">
        <f>"1356317341"</f>
        <v>1356317341</v>
      </c>
      <c r="B1410" t="str">
        <f>"03738869"</f>
        <v>03738869</v>
      </c>
      <c r="C1410" t="s">
        <v>8563</v>
      </c>
      <c r="D1410" t="s">
        <v>2325</v>
      </c>
      <c r="E1410" t="s">
        <v>2326</v>
      </c>
      <c r="G1410" t="s">
        <v>5402</v>
      </c>
      <c r="H1410" t="s">
        <v>877</v>
      </c>
      <c r="J1410" t="s">
        <v>5403</v>
      </c>
      <c r="L1410" t="s">
        <v>79</v>
      </c>
      <c r="M1410" t="s">
        <v>72</v>
      </c>
      <c r="R1410" t="s">
        <v>2327</v>
      </c>
      <c r="W1410" t="s">
        <v>2326</v>
      </c>
      <c r="X1410" t="s">
        <v>1782</v>
      </c>
      <c r="Y1410" t="s">
        <v>206</v>
      </c>
      <c r="Z1410" t="s">
        <v>73</v>
      </c>
      <c r="AA1410" t="str">
        <f>"14048-2515"</f>
        <v>14048-2515</v>
      </c>
      <c r="AB1410" t="s">
        <v>74</v>
      </c>
      <c r="AC1410" t="s">
        <v>75</v>
      </c>
      <c r="AD1410" t="s">
        <v>72</v>
      </c>
      <c r="AE1410" t="s">
        <v>76</v>
      </c>
      <c r="AF1410" t="s">
        <v>4049</v>
      </c>
      <c r="AG1410" t="s">
        <v>77</v>
      </c>
    </row>
    <row r="1411" spans="1:33" x14ac:dyDescent="0.25">
      <c r="A1411" t="str">
        <f>"1841264587"</f>
        <v>1841264587</v>
      </c>
      <c r="B1411" t="str">
        <f>"00661096"</f>
        <v>00661096</v>
      </c>
      <c r="C1411" t="s">
        <v>8564</v>
      </c>
      <c r="D1411" t="s">
        <v>8565</v>
      </c>
      <c r="E1411" t="s">
        <v>8566</v>
      </c>
      <c r="G1411" t="s">
        <v>8564</v>
      </c>
      <c r="H1411" t="s">
        <v>8567</v>
      </c>
      <c r="J1411" t="s">
        <v>8568</v>
      </c>
      <c r="L1411" t="s">
        <v>84</v>
      </c>
      <c r="M1411" t="s">
        <v>72</v>
      </c>
      <c r="R1411" t="s">
        <v>8569</v>
      </c>
      <c r="W1411" t="s">
        <v>8566</v>
      </c>
      <c r="X1411" t="s">
        <v>1164</v>
      </c>
      <c r="Y1411" t="s">
        <v>436</v>
      </c>
      <c r="Z1411" t="s">
        <v>73</v>
      </c>
      <c r="AA1411" t="str">
        <f>"14217-1421"</f>
        <v>14217-1421</v>
      </c>
      <c r="AB1411" t="s">
        <v>74</v>
      </c>
      <c r="AC1411" t="s">
        <v>75</v>
      </c>
      <c r="AD1411" t="s">
        <v>72</v>
      </c>
      <c r="AE1411" t="s">
        <v>76</v>
      </c>
      <c r="AF1411" t="s">
        <v>3974</v>
      </c>
      <c r="AG1411" t="s">
        <v>77</v>
      </c>
    </row>
    <row r="1412" spans="1:33" x14ac:dyDescent="0.25">
      <c r="A1412" t="str">
        <f>"1568418614"</f>
        <v>1568418614</v>
      </c>
      <c r="B1412" t="str">
        <f>"00591864"</f>
        <v>00591864</v>
      </c>
      <c r="C1412" t="s">
        <v>8570</v>
      </c>
      <c r="D1412" t="s">
        <v>8571</v>
      </c>
      <c r="E1412" t="s">
        <v>8572</v>
      </c>
      <c r="G1412" t="s">
        <v>8573</v>
      </c>
      <c r="H1412" t="s">
        <v>8574</v>
      </c>
      <c r="J1412" t="s">
        <v>8575</v>
      </c>
      <c r="L1412" t="s">
        <v>16</v>
      </c>
      <c r="M1412" t="s">
        <v>81</v>
      </c>
      <c r="R1412" t="s">
        <v>8576</v>
      </c>
      <c r="W1412" t="s">
        <v>8576</v>
      </c>
      <c r="X1412" t="s">
        <v>8577</v>
      </c>
      <c r="Y1412" t="s">
        <v>117</v>
      </c>
      <c r="Z1412" t="s">
        <v>73</v>
      </c>
      <c r="AA1412" t="str">
        <f>"14207-2625"</f>
        <v>14207-2625</v>
      </c>
      <c r="AB1412" t="s">
        <v>115</v>
      </c>
      <c r="AC1412" t="s">
        <v>75</v>
      </c>
      <c r="AD1412" t="s">
        <v>72</v>
      </c>
      <c r="AE1412" t="s">
        <v>76</v>
      </c>
      <c r="AF1412" t="s">
        <v>4078</v>
      </c>
      <c r="AG1412" t="s">
        <v>77</v>
      </c>
    </row>
    <row r="1413" spans="1:33" x14ac:dyDescent="0.25">
      <c r="A1413" t="str">
        <f>"1598700650"</f>
        <v>1598700650</v>
      </c>
      <c r="B1413" t="str">
        <f>"00722409"</f>
        <v>00722409</v>
      </c>
      <c r="C1413" t="s">
        <v>8578</v>
      </c>
      <c r="D1413" t="s">
        <v>1000</v>
      </c>
      <c r="E1413" t="s">
        <v>1001</v>
      </c>
      <c r="G1413" t="s">
        <v>8578</v>
      </c>
      <c r="H1413" t="s">
        <v>8579</v>
      </c>
      <c r="J1413" t="s">
        <v>8580</v>
      </c>
      <c r="L1413" t="s">
        <v>79</v>
      </c>
      <c r="M1413" t="s">
        <v>72</v>
      </c>
      <c r="R1413" t="s">
        <v>1002</v>
      </c>
      <c r="W1413" t="s">
        <v>1001</v>
      </c>
      <c r="X1413" t="s">
        <v>446</v>
      </c>
      <c r="Y1413" t="s">
        <v>117</v>
      </c>
      <c r="Z1413" t="s">
        <v>73</v>
      </c>
      <c r="AA1413" t="str">
        <f>"14209-1194"</f>
        <v>14209-1194</v>
      </c>
      <c r="AB1413" t="s">
        <v>74</v>
      </c>
      <c r="AC1413" t="s">
        <v>75</v>
      </c>
      <c r="AD1413" t="s">
        <v>72</v>
      </c>
      <c r="AE1413" t="s">
        <v>76</v>
      </c>
      <c r="AF1413" t="s">
        <v>3974</v>
      </c>
      <c r="AG1413" t="s">
        <v>77</v>
      </c>
    </row>
    <row r="1414" spans="1:33" x14ac:dyDescent="0.25">
      <c r="A1414" t="str">
        <f>"1932360773"</f>
        <v>1932360773</v>
      </c>
      <c r="B1414" t="str">
        <f>"03463903"</f>
        <v>03463903</v>
      </c>
      <c r="C1414" t="s">
        <v>8581</v>
      </c>
      <c r="D1414" t="s">
        <v>8582</v>
      </c>
      <c r="E1414" t="s">
        <v>8583</v>
      </c>
      <c r="G1414" t="s">
        <v>8581</v>
      </c>
      <c r="H1414" t="s">
        <v>8584</v>
      </c>
      <c r="J1414" t="s">
        <v>8585</v>
      </c>
      <c r="L1414" t="s">
        <v>71</v>
      </c>
      <c r="M1414" t="s">
        <v>72</v>
      </c>
      <c r="R1414" t="s">
        <v>8586</v>
      </c>
      <c r="W1414" t="s">
        <v>8587</v>
      </c>
      <c r="X1414" t="s">
        <v>234</v>
      </c>
      <c r="Y1414" t="s">
        <v>117</v>
      </c>
      <c r="Z1414" t="s">
        <v>73</v>
      </c>
      <c r="AA1414" t="str">
        <f>"14220-2039"</f>
        <v>14220-2039</v>
      </c>
      <c r="AB1414" t="s">
        <v>74</v>
      </c>
      <c r="AC1414" t="s">
        <v>75</v>
      </c>
      <c r="AD1414" t="s">
        <v>72</v>
      </c>
      <c r="AE1414" t="s">
        <v>76</v>
      </c>
      <c r="AF1414" t="s">
        <v>3974</v>
      </c>
      <c r="AG1414" t="s">
        <v>77</v>
      </c>
    </row>
    <row r="1415" spans="1:33" x14ac:dyDescent="0.25">
      <c r="A1415" t="str">
        <f>"1255573887"</f>
        <v>1255573887</v>
      </c>
      <c r="B1415" t="str">
        <f>"03252059"</f>
        <v>03252059</v>
      </c>
      <c r="C1415" t="s">
        <v>8588</v>
      </c>
      <c r="D1415" t="s">
        <v>8589</v>
      </c>
      <c r="E1415" t="s">
        <v>8590</v>
      </c>
      <c r="G1415" t="s">
        <v>5441</v>
      </c>
      <c r="H1415" t="s">
        <v>2776</v>
      </c>
      <c r="J1415" t="s">
        <v>5442</v>
      </c>
      <c r="L1415" t="s">
        <v>79</v>
      </c>
      <c r="M1415" t="s">
        <v>72</v>
      </c>
      <c r="R1415" t="s">
        <v>8591</v>
      </c>
      <c r="W1415" t="s">
        <v>8592</v>
      </c>
      <c r="X1415" t="s">
        <v>8593</v>
      </c>
      <c r="Y1415" t="s">
        <v>117</v>
      </c>
      <c r="Z1415" t="s">
        <v>73</v>
      </c>
      <c r="AA1415" t="str">
        <f>"14214-2693"</f>
        <v>14214-2693</v>
      </c>
      <c r="AB1415" t="s">
        <v>113</v>
      </c>
      <c r="AC1415" t="s">
        <v>75</v>
      </c>
      <c r="AD1415" t="s">
        <v>72</v>
      </c>
      <c r="AE1415" t="s">
        <v>76</v>
      </c>
      <c r="AF1415" t="s">
        <v>3974</v>
      </c>
      <c r="AG1415" t="s">
        <v>77</v>
      </c>
    </row>
    <row r="1416" spans="1:33" x14ac:dyDescent="0.25">
      <c r="A1416" t="str">
        <f>"1902864234"</f>
        <v>1902864234</v>
      </c>
      <c r="B1416" t="str">
        <f>"02675872"</f>
        <v>02675872</v>
      </c>
      <c r="C1416" t="s">
        <v>8594</v>
      </c>
      <c r="D1416" t="s">
        <v>8595</v>
      </c>
      <c r="E1416" t="s">
        <v>8596</v>
      </c>
      <c r="G1416" t="s">
        <v>7358</v>
      </c>
      <c r="H1416" t="s">
        <v>5619</v>
      </c>
      <c r="J1416" t="s">
        <v>7359</v>
      </c>
      <c r="L1416" t="s">
        <v>80</v>
      </c>
      <c r="M1416" t="s">
        <v>72</v>
      </c>
      <c r="R1416" t="s">
        <v>8597</v>
      </c>
      <c r="W1416" t="s">
        <v>8596</v>
      </c>
      <c r="X1416" t="s">
        <v>8598</v>
      </c>
      <c r="Y1416" t="s">
        <v>111</v>
      </c>
      <c r="Z1416" t="s">
        <v>73</v>
      </c>
      <c r="AA1416" t="str">
        <f>"14626-1186"</f>
        <v>14626-1186</v>
      </c>
      <c r="AB1416" t="s">
        <v>74</v>
      </c>
      <c r="AC1416" t="s">
        <v>75</v>
      </c>
      <c r="AD1416" t="s">
        <v>72</v>
      </c>
      <c r="AE1416" t="s">
        <v>76</v>
      </c>
      <c r="AF1416" t="s">
        <v>3961</v>
      </c>
      <c r="AG1416" t="s">
        <v>77</v>
      </c>
    </row>
    <row r="1417" spans="1:33" x14ac:dyDescent="0.25">
      <c r="A1417" t="str">
        <f>"1528066214"</f>
        <v>1528066214</v>
      </c>
      <c r="B1417" t="str">
        <f>"00602906"</f>
        <v>00602906</v>
      </c>
      <c r="C1417" t="s">
        <v>8599</v>
      </c>
      <c r="D1417" t="s">
        <v>8600</v>
      </c>
      <c r="E1417" t="s">
        <v>8601</v>
      </c>
      <c r="G1417" t="s">
        <v>5946</v>
      </c>
      <c r="H1417" t="s">
        <v>5947</v>
      </c>
      <c r="J1417" t="s">
        <v>5948</v>
      </c>
      <c r="L1417" t="s">
        <v>79</v>
      </c>
      <c r="M1417" t="s">
        <v>72</v>
      </c>
      <c r="R1417" t="s">
        <v>8602</v>
      </c>
      <c r="W1417" t="s">
        <v>8601</v>
      </c>
      <c r="X1417" t="s">
        <v>8603</v>
      </c>
      <c r="Y1417" t="s">
        <v>188</v>
      </c>
      <c r="Z1417" t="s">
        <v>73</v>
      </c>
      <c r="AA1417" t="str">
        <f>"14092-1997"</f>
        <v>14092-1997</v>
      </c>
      <c r="AB1417" t="s">
        <v>74</v>
      </c>
      <c r="AC1417" t="s">
        <v>75</v>
      </c>
      <c r="AD1417" t="s">
        <v>72</v>
      </c>
      <c r="AE1417" t="s">
        <v>76</v>
      </c>
      <c r="AF1417" t="s">
        <v>3974</v>
      </c>
      <c r="AG1417" t="s">
        <v>77</v>
      </c>
    </row>
    <row r="1418" spans="1:33" x14ac:dyDescent="0.25">
      <c r="A1418" t="str">
        <f>"1548231541"</f>
        <v>1548231541</v>
      </c>
      <c r="B1418" t="str">
        <f>"01268708"</f>
        <v>01268708</v>
      </c>
      <c r="C1418" t="s">
        <v>8604</v>
      </c>
      <c r="D1418" t="s">
        <v>8605</v>
      </c>
      <c r="E1418" t="s">
        <v>8606</v>
      </c>
      <c r="G1418" t="s">
        <v>8604</v>
      </c>
      <c r="H1418" t="s">
        <v>4732</v>
      </c>
      <c r="J1418" t="s">
        <v>8607</v>
      </c>
      <c r="L1418" t="s">
        <v>79</v>
      </c>
      <c r="M1418" t="s">
        <v>72</v>
      </c>
      <c r="R1418" t="s">
        <v>8608</v>
      </c>
      <c r="W1418" t="s">
        <v>8609</v>
      </c>
      <c r="X1418" t="s">
        <v>1821</v>
      </c>
      <c r="Y1418" t="s">
        <v>221</v>
      </c>
      <c r="Z1418" t="s">
        <v>73</v>
      </c>
      <c r="AA1418" t="str">
        <f>"14221-3573"</f>
        <v>14221-3573</v>
      </c>
      <c r="AB1418" t="s">
        <v>74</v>
      </c>
      <c r="AC1418" t="s">
        <v>75</v>
      </c>
      <c r="AD1418" t="s">
        <v>72</v>
      </c>
      <c r="AE1418" t="s">
        <v>76</v>
      </c>
      <c r="AF1418" t="s">
        <v>3974</v>
      </c>
      <c r="AG1418" t="s">
        <v>77</v>
      </c>
    </row>
    <row r="1419" spans="1:33" x14ac:dyDescent="0.25">
      <c r="A1419" t="str">
        <f>"1255478376"</f>
        <v>1255478376</v>
      </c>
      <c r="B1419" t="str">
        <f>"02273123"</f>
        <v>02273123</v>
      </c>
      <c r="C1419" t="s">
        <v>8610</v>
      </c>
      <c r="D1419" t="s">
        <v>2018</v>
      </c>
      <c r="E1419" t="s">
        <v>2019</v>
      </c>
      <c r="G1419" t="s">
        <v>5446</v>
      </c>
      <c r="H1419" t="s">
        <v>368</v>
      </c>
      <c r="J1419" t="s">
        <v>5447</v>
      </c>
      <c r="L1419" t="s">
        <v>80</v>
      </c>
      <c r="M1419" t="s">
        <v>72</v>
      </c>
      <c r="R1419" t="s">
        <v>2020</v>
      </c>
      <c r="W1419" t="s">
        <v>2021</v>
      </c>
      <c r="X1419" t="s">
        <v>2022</v>
      </c>
      <c r="Y1419" t="s">
        <v>221</v>
      </c>
      <c r="Z1419" t="s">
        <v>73</v>
      </c>
      <c r="AA1419" t="str">
        <f>"14221-5760"</f>
        <v>14221-5760</v>
      </c>
      <c r="AB1419" t="s">
        <v>74</v>
      </c>
      <c r="AC1419" t="s">
        <v>75</v>
      </c>
      <c r="AD1419" t="s">
        <v>72</v>
      </c>
      <c r="AE1419" t="s">
        <v>76</v>
      </c>
      <c r="AF1419" t="s">
        <v>3961</v>
      </c>
      <c r="AG1419" t="s">
        <v>77</v>
      </c>
    </row>
    <row r="1420" spans="1:33" x14ac:dyDescent="0.25">
      <c r="A1420" t="str">
        <f>"1215025523"</f>
        <v>1215025523</v>
      </c>
      <c r="B1420" t="str">
        <f>"02994690"</f>
        <v>02994690</v>
      </c>
      <c r="C1420" t="s">
        <v>6845</v>
      </c>
      <c r="D1420" t="s">
        <v>440</v>
      </c>
      <c r="E1420" t="s">
        <v>441</v>
      </c>
      <c r="G1420" t="s">
        <v>6846</v>
      </c>
      <c r="H1420" t="s">
        <v>6847</v>
      </c>
      <c r="I1420">
        <v>110</v>
      </c>
      <c r="J1420" t="s">
        <v>6848</v>
      </c>
      <c r="L1420" t="s">
        <v>152</v>
      </c>
      <c r="M1420" t="s">
        <v>81</v>
      </c>
      <c r="R1420" t="s">
        <v>271</v>
      </c>
      <c r="W1420" t="s">
        <v>443</v>
      </c>
      <c r="X1420" t="s">
        <v>367</v>
      </c>
      <c r="Y1420" t="s">
        <v>111</v>
      </c>
      <c r="Z1420" t="s">
        <v>73</v>
      </c>
      <c r="AA1420" t="str">
        <f>"14623-2021"</f>
        <v>14623-2021</v>
      </c>
      <c r="AB1420" t="s">
        <v>83</v>
      </c>
      <c r="AC1420" t="s">
        <v>75</v>
      </c>
      <c r="AD1420" t="s">
        <v>72</v>
      </c>
      <c r="AE1420" t="s">
        <v>76</v>
      </c>
      <c r="AF1420" t="s">
        <v>4879</v>
      </c>
      <c r="AG1420" t="s">
        <v>77</v>
      </c>
    </row>
    <row r="1421" spans="1:33" x14ac:dyDescent="0.25">
      <c r="A1421" t="str">
        <f>"1639267933"</f>
        <v>1639267933</v>
      </c>
      <c r="B1421" t="str">
        <f>"02996638"</f>
        <v>02996638</v>
      </c>
      <c r="C1421" t="s">
        <v>439</v>
      </c>
      <c r="D1421" t="s">
        <v>263</v>
      </c>
      <c r="E1421" t="s">
        <v>264</v>
      </c>
      <c r="G1421" t="s">
        <v>444</v>
      </c>
      <c r="H1421" t="s">
        <v>442</v>
      </c>
      <c r="J1421" t="s">
        <v>445</v>
      </c>
      <c r="L1421" t="s">
        <v>122</v>
      </c>
      <c r="M1421" t="s">
        <v>81</v>
      </c>
      <c r="R1421" t="s">
        <v>271</v>
      </c>
      <c r="W1421" t="s">
        <v>272</v>
      </c>
      <c r="X1421" t="s">
        <v>273</v>
      </c>
      <c r="Y1421" t="s">
        <v>111</v>
      </c>
      <c r="Z1421" t="s">
        <v>73</v>
      </c>
      <c r="AA1421" t="str">
        <f>"14620-1662"</f>
        <v>14620-1662</v>
      </c>
      <c r="AB1421" t="s">
        <v>83</v>
      </c>
      <c r="AC1421" t="s">
        <v>75</v>
      </c>
      <c r="AD1421" t="s">
        <v>72</v>
      </c>
      <c r="AE1421" t="s">
        <v>76</v>
      </c>
      <c r="AF1421" t="s">
        <v>4879</v>
      </c>
      <c r="AG1421" t="s">
        <v>77</v>
      </c>
    </row>
    <row r="1422" spans="1:33" x14ac:dyDescent="0.25">
      <c r="A1422" t="str">
        <f>"1205867546"</f>
        <v>1205867546</v>
      </c>
      <c r="B1422" t="str">
        <f>"02273187"</f>
        <v>02273187</v>
      </c>
      <c r="C1422" t="s">
        <v>8611</v>
      </c>
      <c r="D1422" t="s">
        <v>2570</v>
      </c>
      <c r="E1422" t="s">
        <v>2571</v>
      </c>
      <c r="G1422" t="s">
        <v>8611</v>
      </c>
      <c r="H1422" t="s">
        <v>6466</v>
      </c>
      <c r="J1422" t="s">
        <v>8612</v>
      </c>
      <c r="L1422" t="s">
        <v>80</v>
      </c>
      <c r="M1422" t="s">
        <v>72</v>
      </c>
      <c r="R1422" t="s">
        <v>2572</v>
      </c>
      <c r="W1422" t="s">
        <v>2573</v>
      </c>
      <c r="X1422" t="s">
        <v>1542</v>
      </c>
      <c r="Y1422" t="s">
        <v>221</v>
      </c>
      <c r="Z1422" t="s">
        <v>73</v>
      </c>
      <c r="AA1422" t="str">
        <f>"14221-8216"</f>
        <v>14221-8216</v>
      </c>
      <c r="AB1422" t="s">
        <v>74</v>
      </c>
      <c r="AC1422" t="s">
        <v>75</v>
      </c>
      <c r="AD1422" t="s">
        <v>72</v>
      </c>
      <c r="AE1422" t="s">
        <v>76</v>
      </c>
      <c r="AG1422" t="s">
        <v>77</v>
      </c>
    </row>
    <row r="1423" spans="1:33" x14ac:dyDescent="0.25">
      <c r="A1423" t="str">
        <f>"1053475939"</f>
        <v>1053475939</v>
      </c>
      <c r="B1423" t="str">
        <f>"01731731"</f>
        <v>01731731</v>
      </c>
      <c r="C1423" t="s">
        <v>8613</v>
      </c>
      <c r="D1423" t="s">
        <v>3297</v>
      </c>
      <c r="E1423" t="s">
        <v>3298</v>
      </c>
      <c r="G1423" t="s">
        <v>4887</v>
      </c>
      <c r="H1423" t="s">
        <v>789</v>
      </c>
      <c r="J1423" t="s">
        <v>4888</v>
      </c>
      <c r="L1423" t="s">
        <v>121</v>
      </c>
      <c r="M1423" t="s">
        <v>72</v>
      </c>
      <c r="R1423" t="s">
        <v>3299</v>
      </c>
      <c r="W1423" t="s">
        <v>3298</v>
      </c>
      <c r="X1423" t="s">
        <v>3300</v>
      </c>
      <c r="Y1423" t="s">
        <v>117</v>
      </c>
      <c r="Z1423" t="s">
        <v>73</v>
      </c>
      <c r="AA1423" t="str">
        <f>"14051-0000"</f>
        <v>14051-0000</v>
      </c>
      <c r="AB1423" t="s">
        <v>74</v>
      </c>
      <c r="AC1423" t="s">
        <v>75</v>
      </c>
      <c r="AD1423" t="s">
        <v>72</v>
      </c>
      <c r="AE1423" t="s">
        <v>76</v>
      </c>
      <c r="AF1423" t="s">
        <v>3974</v>
      </c>
      <c r="AG1423" t="s">
        <v>77</v>
      </c>
    </row>
    <row r="1424" spans="1:33" x14ac:dyDescent="0.25">
      <c r="A1424" t="str">
        <f>"1134114234"</f>
        <v>1134114234</v>
      </c>
      <c r="B1424" t="str">
        <f>"00689258"</f>
        <v>00689258</v>
      </c>
      <c r="C1424" t="s">
        <v>8614</v>
      </c>
      <c r="D1424" t="s">
        <v>2895</v>
      </c>
      <c r="E1424" t="s">
        <v>2896</v>
      </c>
      <c r="G1424" t="s">
        <v>5498</v>
      </c>
      <c r="H1424" t="s">
        <v>1808</v>
      </c>
      <c r="J1424" t="s">
        <v>5499</v>
      </c>
      <c r="L1424" t="s">
        <v>79</v>
      </c>
      <c r="M1424" t="s">
        <v>72</v>
      </c>
      <c r="R1424" t="s">
        <v>2897</v>
      </c>
      <c r="W1424" t="s">
        <v>2896</v>
      </c>
      <c r="X1424" t="s">
        <v>1209</v>
      </c>
      <c r="Y1424" t="s">
        <v>237</v>
      </c>
      <c r="Z1424" t="s">
        <v>73</v>
      </c>
      <c r="AA1424" t="str">
        <f>"14224-3444"</f>
        <v>14224-3444</v>
      </c>
      <c r="AB1424" t="s">
        <v>74</v>
      </c>
      <c r="AC1424" t="s">
        <v>75</v>
      </c>
      <c r="AD1424" t="s">
        <v>72</v>
      </c>
      <c r="AE1424" t="s">
        <v>76</v>
      </c>
      <c r="AF1424" t="s">
        <v>3974</v>
      </c>
      <c r="AG1424" t="s">
        <v>77</v>
      </c>
    </row>
    <row r="1425" spans="1:33" x14ac:dyDescent="0.25">
      <c r="A1425" t="str">
        <f>"1093825721"</f>
        <v>1093825721</v>
      </c>
      <c r="B1425" t="str">
        <f>"01316201"</f>
        <v>01316201</v>
      </c>
      <c r="C1425" t="s">
        <v>8615</v>
      </c>
      <c r="D1425" t="s">
        <v>2727</v>
      </c>
      <c r="E1425" t="s">
        <v>2728</v>
      </c>
      <c r="G1425" t="s">
        <v>4995</v>
      </c>
      <c r="H1425" t="s">
        <v>743</v>
      </c>
      <c r="J1425" t="s">
        <v>4996</v>
      </c>
      <c r="L1425" t="s">
        <v>79</v>
      </c>
      <c r="M1425" t="s">
        <v>72</v>
      </c>
      <c r="R1425" t="s">
        <v>2729</v>
      </c>
      <c r="W1425" t="s">
        <v>2728</v>
      </c>
      <c r="X1425" t="s">
        <v>2730</v>
      </c>
      <c r="Y1425" t="s">
        <v>326</v>
      </c>
      <c r="Z1425" t="s">
        <v>73</v>
      </c>
      <c r="AA1425" t="str">
        <f>"14127-1239"</f>
        <v>14127-1239</v>
      </c>
      <c r="AB1425" t="s">
        <v>74</v>
      </c>
      <c r="AC1425" t="s">
        <v>75</v>
      </c>
      <c r="AD1425" t="s">
        <v>72</v>
      </c>
      <c r="AE1425" t="s">
        <v>76</v>
      </c>
      <c r="AF1425" t="s">
        <v>3974</v>
      </c>
      <c r="AG1425" t="s">
        <v>77</v>
      </c>
    </row>
    <row r="1426" spans="1:33" x14ac:dyDescent="0.25">
      <c r="A1426" t="str">
        <f>"1982619433"</f>
        <v>1982619433</v>
      </c>
      <c r="B1426" t="str">
        <f>"02898960"</f>
        <v>02898960</v>
      </c>
      <c r="C1426" t="s">
        <v>8616</v>
      </c>
      <c r="D1426" t="s">
        <v>3647</v>
      </c>
      <c r="E1426" t="s">
        <v>3648</v>
      </c>
      <c r="G1426" t="s">
        <v>7061</v>
      </c>
      <c r="H1426" t="s">
        <v>1711</v>
      </c>
      <c r="J1426" t="s">
        <v>7062</v>
      </c>
      <c r="L1426" t="s">
        <v>80</v>
      </c>
      <c r="M1426" t="s">
        <v>72</v>
      </c>
      <c r="R1426" t="s">
        <v>3649</v>
      </c>
      <c r="W1426" t="s">
        <v>3648</v>
      </c>
      <c r="X1426" t="s">
        <v>1713</v>
      </c>
      <c r="Y1426" t="s">
        <v>326</v>
      </c>
      <c r="Z1426" t="s">
        <v>73</v>
      </c>
      <c r="AA1426" t="str">
        <f>"14127-2604"</f>
        <v>14127-2604</v>
      </c>
      <c r="AB1426" t="s">
        <v>74</v>
      </c>
      <c r="AC1426" t="s">
        <v>75</v>
      </c>
      <c r="AD1426" t="s">
        <v>72</v>
      </c>
      <c r="AE1426" t="s">
        <v>76</v>
      </c>
      <c r="AF1426" t="s">
        <v>3961</v>
      </c>
      <c r="AG1426" t="s">
        <v>77</v>
      </c>
    </row>
    <row r="1427" spans="1:33" x14ac:dyDescent="0.25">
      <c r="A1427" t="str">
        <f>"1043285786"</f>
        <v>1043285786</v>
      </c>
      <c r="B1427" t="str">
        <f>"01955155"</f>
        <v>01955155</v>
      </c>
      <c r="C1427" t="s">
        <v>8617</v>
      </c>
      <c r="D1427" t="s">
        <v>3083</v>
      </c>
      <c r="E1427" t="s">
        <v>3084</v>
      </c>
      <c r="G1427" t="s">
        <v>7221</v>
      </c>
      <c r="H1427" t="s">
        <v>1005</v>
      </c>
      <c r="J1427" t="s">
        <v>7222</v>
      </c>
      <c r="L1427" t="s">
        <v>79</v>
      </c>
      <c r="M1427" t="s">
        <v>72</v>
      </c>
      <c r="R1427" t="s">
        <v>3085</v>
      </c>
      <c r="W1427" t="s">
        <v>3084</v>
      </c>
      <c r="X1427" t="s">
        <v>295</v>
      </c>
      <c r="Y1427" t="s">
        <v>117</v>
      </c>
      <c r="Z1427" t="s">
        <v>73</v>
      </c>
      <c r="AA1427" t="str">
        <f>"14215-3021"</f>
        <v>14215-3021</v>
      </c>
      <c r="AB1427" t="s">
        <v>74</v>
      </c>
      <c r="AC1427" t="s">
        <v>75</v>
      </c>
      <c r="AD1427" t="s">
        <v>72</v>
      </c>
      <c r="AE1427" t="s">
        <v>76</v>
      </c>
      <c r="AF1427" t="s">
        <v>3974</v>
      </c>
      <c r="AG1427" t="s">
        <v>77</v>
      </c>
    </row>
    <row r="1428" spans="1:33" x14ac:dyDescent="0.25">
      <c r="A1428" t="str">
        <f>"1215958830"</f>
        <v>1215958830</v>
      </c>
      <c r="B1428" t="str">
        <f>"01253438"</f>
        <v>01253438</v>
      </c>
      <c r="C1428" t="s">
        <v>8618</v>
      </c>
      <c r="D1428" t="s">
        <v>2694</v>
      </c>
      <c r="E1428" t="s">
        <v>2695</v>
      </c>
      <c r="G1428" t="s">
        <v>5441</v>
      </c>
      <c r="H1428" t="s">
        <v>2776</v>
      </c>
      <c r="J1428" t="s">
        <v>5442</v>
      </c>
      <c r="L1428" t="s">
        <v>79</v>
      </c>
      <c r="M1428" t="s">
        <v>72</v>
      </c>
      <c r="R1428" t="s">
        <v>2696</v>
      </c>
      <c r="W1428" t="s">
        <v>2697</v>
      </c>
      <c r="X1428" t="s">
        <v>2698</v>
      </c>
      <c r="Y1428" t="s">
        <v>117</v>
      </c>
      <c r="Z1428" t="s">
        <v>73</v>
      </c>
      <c r="AA1428" t="str">
        <f>"14214-2693"</f>
        <v>14214-2693</v>
      </c>
      <c r="AB1428" t="s">
        <v>113</v>
      </c>
      <c r="AC1428" t="s">
        <v>75</v>
      </c>
      <c r="AD1428" t="s">
        <v>72</v>
      </c>
      <c r="AE1428" t="s">
        <v>76</v>
      </c>
      <c r="AF1428" t="s">
        <v>3974</v>
      </c>
      <c r="AG1428" t="s">
        <v>77</v>
      </c>
    </row>
    <row r="1429" spans="1:33" x14ac:dyDescent="0.25">
      <c r="A1429" t="str">
        <f>"1235100041"</f>
        <v>1235100041</v>
      </c>
      <c r="B1429" t="str">
        <f>"00686993"</f>
        <v>00686993</v>
      </c>
      <c r="C1429" t="s">
        <v>8619</v>
      </c>
      <c r="D1429" t="s">
        <v>8620</v>
      </c>
      <c r="E1429" t="s">
        <v>8621</v>
      </c>
      <c r="G1429" t="s">
        <v>5297</v>
      </c>
      <c r="H1429" t="s">
        <v>2793</v>
      </c>
      <c r="J1429" t="s">
        <v>5298</v>
      </c>
      <c r="L1429" t="s">
        <v>79</v>
      </c>
      <c r="M1429" t="s">
        <v>72</v>
      </c>
      <c r="R1429" t="s">
        <v>2696</v>
      </c>
      <c r="W1429" t="s">
        <v>8621</v>
      </c>
      <c r="X1429" t="s">
        <v>2698</v>
      </c>
      <c r="Y1429" t="s">
        <v>117</v>
      </c>
      <c r="Z1429" t="s">
        <v>73</v>
      </c>
      <c r="AA1429" t="str">
        <f>"14214-2693"</f>
        <v>14214-2693</v>
      </c>
      <c r="AB1429" t="s">
        <v>74</v>
      </c>
      <c r="AC1429" t="s">
        <v>75</v>
      </c>
      <c r="AD1429" t="s">
        <v>72</v>
      </c>
      <c r="AE1429" t="s">
        <v>76</v>
      </c>
      <c r="AF1429" t="s">
        <v>3974</v>
      </c>
      <c r="AG1429" t="s">
        <v>77</v>
      </c>
    </row>
    <row r="1430" spans="1:33" x14ac:dyDescent="0.25">
      <c r="A1430" t="str">
        <f>"1487650016"</f>
        <v>1487650016</v>
      </c>
      <c r="B1430" t="str">
        <f>"01417541"</f>
        <v>01417541</v>
      </c>
      <c r="C1430" t="s">
        <v>8622</v>
      </c>
      <c r="D1430" t="s">
        <v>2055</v>
      </c>
      <c r="E1430" t="s">
        <v>2056</v>
      </c>
      <c r="G1430" t="s">
        <v>4786</v>
      </c>
      <c r="H1430" t="s">
        <v>1728</v>
      </c>
      <c r="J1430" t="s">
        <v>4787</v>
      </c>
      <c r="L1430" t="s">
        <v>79</v>
      </c>
      <c r="M1430" t="s">
        <v>72</v>
      </c>
      <c r="R1430" t="s">
        <v>2057</v>
      </c>
      <c r="W1430" t="s">
        <v>2058</v>
      </c>
      <c r="X1430" t="s">
        <v>2059</v>
      </c>
      <c r="Y1430" t="s">
        <v>117</v>
      </c>
      <c r="Z1430" t="s">
        <v>73</v>
      </c>
      <c r="AA1430" t="str">
        <f>"14209-1118"</f>
        <v>14209-1118</v>
      </c>
      <c r="AB1430" t="s">
        <v>74</v>
      </c>
      <c r="AC1430" t="s">
        <v>75</v>
      </c>
      <c r="AD1430" t="s">
        <v>72</v>
      </c>
      <c r="AE1430" t="s">
        <v>76</v>
      </c>
      <c r="AF1430" t="s">
        <v>3974</v>
      </c>
      <c r="AG1430" t="s">
        <v>77</v>
      </c>
    </row>
    <row r="1431" spans="1:33" x14ac:dyDescent="0.25">
      <c r="A1431" t="str">
        <f>"1356380612"</f>
        <v>1356380612</v>
      </c>
      <c r="B1431" t="str">
        <f>"01150852"</f>
        <v>01150852</v>
      </c>
      <c r="C1431" t="s">
        <v>8623</v>
      </c>
      <c r="D1431" t="s">
        <v>8624</v>
      </c>
      <c r="E1431" t="s">
        <v>8625</v>
      </c>
      <c r="G1431" t="s">
        <v>4979</v>
      </c>
      <c r="H1431" t="s">
        <v>1123</v>
      </c>
      <c r="J1431" t="s">
        <v>4981</v>
      </c>
      <c r="L1431" t="s">
        <v>79</v>
      </c>
      <c r="M1431" t="s">
        <v>72</v>
      </c>
      <c r="R1431" t="s">
        <v>8626</v>
      </c>
      <c r="W1431" t="s">
        <v>8625</v>
      </c>
      <c r="X1431" t="s">
        <v>295</v>
      </c>
      <c r="Y1431" t="s">
        <v>117</v>
      </c>
      <c r="Z1431" t="s">
        <v>73</v>
      </c>
      <c r="AA1431" t="str">
        <f>"14215-3021"</f>
        <v>14215-3021</v>
      </c>
      <c r="AB1431" t="s">
        <v>74</v>
      </c>
      <c r="AC1431" t="s">
        <v>75</v>
      </c>
      <c r="AD1431" t="s">
        <v>72</v>
      </c>
      <c r="AE1431" t="s">
        <v>76</v>
      </c>
      <c r="AF1431" t="s">
        <v>3974</v>
      </c>
      <c r="AG1431" t="s">
        <v>77</v>
      </c>
    </row>
    <row r="1432" spans="1:33" x14ac:dyDescent="0.25">
      <c r="A1432" t="str">
        <f>"1578552659"</f>
        <v>1578552659</v>
      </c>
      <c r="B1432" t="str">
        <f>"01454475"</f>
        <v>01454475</v>
      </c>
      <c r="C1432" t="s">
        <v>8627</v>
      </c>
      <c r="D1432" t="s">
        <v>8628</v>
      </c>
      <c r="E1432" t="s">
        <v>8629</v>
      </c>
      <c r="L1432" t="s">
        <v>71</v>
      </c>
      <c r="M1432" t="s">
        <v>72</v>
      </c>
      <c r="R1432" t="s">
        <v>8627</v>
      </c>
      <c r="W1432" t="s">
        <v>8629</v>
      </c>
      <c r="X1432" t="s">
        <v>318</v>
      </c>
      <c r="Y1432" t="s">
        <v>274</v>
      </c>
      <c r="Z1432" t="s">
        <v>73</v>
      </c>
      <c r="AA1432" t="str">
        <f>"14527-1070"</f>
        <v>14527-1070</v>
      </c>
      <c r="AB1432" t="s">
        <v>74</v>
      </c>
      <c r="AC1432" t="s">
        <v>75</v>
      </c>
      <c r="AD1432" t="s">
        <v>72</v>
      </c>
      <c r="AE1432" t="s">
        <v>76</v>
      </c>
      <c r="AF1432" t="s">
        <v>7966</v>
      </c>
      <c r="AG1432" t="s">
        <v>77</v>
      </c>
    </row>
    <row r="1433" spans="1:33" x14ac:dyDescent="0.25">
      <c r="A1433" t="str">
        <f>"1013016815"</f>
        <v>1013016815</v>
      </c>
      <c r="B1433" t="str">
        <f>"01084748"</f>
        <v>01084748</v>
      </c>
      <c r="C1433" t="s">
        <v>8630</v>
      </c>
      <c r="D1433" t="s">
        <v>8631</v>
      </c>
      <c r="E1433" t="s">
        <v>8632</v>
      </c>
      <c r="H1433" t="s">
        <v>8353</v>
      </c>
      <c r="L1433" t="s">
        <v>71</v>
      </c>
      <c r="M1433" t="s">
        <v>72</v>
      </c>
      <c r="R1433" t="s">
        <v>8630</v>
      </c>
      <c r="W1433" t="s">
        <v>8632</v>
      </c>
      <c r="X1433" t="s">
        <v>8633</v>
      </c>
      <c r="Y1433" t="s">
        <v>242</v>
      </c>
      <c r="Z1433" t="s">
        <v>73</v>
      </c>
      <c r="AA1433" t="str">
        <f>"14701"</f>
        <v>14701</v>
      </c>
      <c r="AB1433" t="s">
        <v>74</v>
      </c>
      <c r="AC1433" t="s">
        <v>75</v>
      </c>
      <c r="AD1433" t="s">
        <v>72</v>
      </c>
      <c r="AE1433" t="s">
        <v>76</v>
      </c>
      <c r="AF1433" t="s">
        <v>7966</v>
      </c>
      <c r="AG1433" t="s">
        <v>77</v>
      </c>
    </row>
    <row r="1434" spans="1:33" x14ac:dyDescent="0.25">
      <c r="A1434" t="str">
        <f>"1003980384"</f>
        <v>1003980384</v>
      </c>
      <c r="B1434" t="str">
        <f>"03374412"</f>
        <v>03374412</v>
      </c>
      <c r="C1434" t="s">
        <v>8634</v>
      </c>
      <c r="D1434" t="s">
        <v>8635</v>
      </c>
      <c r="E1434" t="s">
        <v>8634</v>
      </c>
      <c r="L1434" t="s">
        <v>80</v>
      </c>
      <c r="M1434" t="s">
        <v>72</v>
      </c>
      <c r="R1434" t="s">
        <v>8634</v>
      </c>
      <c r="W1434" t="s">
        <v>8636</v>
      </c>
      <c r="X1434" t="s">
        <v>8637</v>
      </c>
      <c r="Y1434" t="s">
        <v>242</v>
      </c>
      <c r="Z1434" t="s">
        <v>73</v>
      </c>
      <c r="AA1434" t="str">
        <f>"14701-6968"</f>
        <v>14701-6968</v>
      </c>
      <c r="AB1434" t="s">
        <v>74</v>
      </c>
      <c r="AC1434" t="s">
        <v>75</v>
      </c>
      <c r="AD1434" t="s">
        <v>72</v>
      </c>
      <c r="AE1434" t="s">
        <v>76</v>
      </c>
      <c r="AF1434" t="s">
        <v>7887</v>
      </c>
      <c r="AG1434" t="s">
        <v>77</v>
      </c>
    </row>
    <row r="1435" spans="1:33" x14ac:dyDescent="0.25">
      <c r="A1435" t="str">
        <f>"1780956326"</f>
        <v>1780956326</v>
      </c>
      <c r="B1435" t="str">
        <f>"03512627"</f>
        <v>03512627</v>
      </c>
      <c r="C1435" t="s">
        <v>8638</v>
      </c>
      <c r="D1435" t="s">
        <v>8639</v>
      </c>
      <c r="E1435" t="s">
        <v>8640</v>
      </c>
      <c r="L1435" t="s">
        <v>71</v>
      </c>
      <c r="M1435" t="s">
        <v>72</v>
      </c>
      <c r="R1435" t="s">
        <v>8638</v>
      </c>
      <c r="W1435" t="s">
        <v>8640</v>
      </c>
      <c r="X1435" t="s">
        <v>286</v>
      </c>
      <c r="Y1435" t="s">
        <v>242</v>
      </c>
      <c r="Z1435" t="s">
        <v>73</v>
      </c>
      <c r="AA1435" t="str">
        <f>"14701-7077"</f>
        <v>14701-7077</v>
      </c>
      <c r="AB1435" t="s">
        <v>74</v>
      </c>
      <c r="AC1435" t="s">
        <v>75</v>
      </c>
      <c r="AD1435" t="s">
        <v>72</v>
      </c>
      <c r="AE1435" t="s">
        <v>76</v>
      </c>
      <c r="AF1435" t="s">
        <v>7966</v>
      </c>
      <c r="AG1435" t="s">
        <v>77</v>
      </c>
    </row>
    <row r="1436" spans="1:33" x14ac:dyDescent="0.25">
      <c r="A1436" t="str">
        <f>"1003854886"</f>
        <v>1003854886</v>
      </c>
      <c r="B1436" t="str">
        <f>"03462622"</f>
        <v>03462622</v>
      </c>
      <c r="C1436" t="s">
        <v>8641</v>
      </c>
      <c r="D1436" t="s">
        <v>8642</v>
      </c>
      <c r="E1436" t="s">
        <v>8643</v>
      </c>
      <c r="H1436" t="s">
        <v>8353</v>
      </c>
      <c r="L1436" t="s">
        <v>71</v>
      </c>
      <c r="M1436" t="s">
        <v>72</v>
      </c>
      <c r="R1436" t="s">
        <v>8644</v>
      </c>
      <c r="W1436" t="s">
        <v>8645</v>
      </c>
      <c r="X1436" t="s">
        <v>286</v>
      </c>
      <c r="Y1436" t="s">
        <v>242</v>
      </c>
      <c r="Z1436" t="s">
        <v>73</v>
      </c>
      <c r="AA1436" t="str">
        <f>"14701-7077"</f>
        <v>14701-7077</v>
      </c>
      <c r="AB1436" t="s">
        <v>74</v>
      </c>
      <c r="AC1436" t="s">
        <v>75</v>
      </c>
      <c r="AD1436" t="s">
        <v>72</v>
      </c>
      <c r="AE1436" t="s">
        <v>76</v>
      </c>
      <c r="AF1436" t="s">
        <v>7966</v>
      </c>
      <c r="AG1436" t="s">
        <v>77</v>
      </c>
    </row>
    <row r="1437" spans="1:33" x14ac:dyDescent="0.25">
      <c r="A1437" t="str">
        <f>"1962666107"</f>
        <v>1962666107</v>
      </c>
      <c r="B1437" t="str">
        <f>"03360905"</f>
        <v>03360905</v>
      </c>
      <c r="C1437" t="s">
        <v>3859</v>
      </c>
      <c r="D1437" t="s">
        <v>3857</v>
      </c>
      <c r="E1437" t="s">
        <v>3858</v>
      </c>
      <c r="L1437" t="s">
        <v>71</v>
      </c>
      <c r="M1437" t="s">
        <v>72</v>
      </c>
      <c r="R1437" t="s">
        <v>3859</v>
      </c>
      <c r="W1437" t="s">
        <v>3858</v>
      </c>
      <c r="X1437" t="s">
        <v>286</v>
      </c>
      <c r="Y1437" t="s">
        <v>242</v>
      </c>
      <c r="Z1437" t="s">
        <v>73</v>
      </c>
      <c r="AA1437" t="str">
        <f>"14701-7077"</f>
        <v>14701-7077</v>
      </c>
      <c r="AB1437" t="s">
        <v>74</v>
      </c>
      <c r="AC1437" t="s">
        <v>75</v>
      </c>
      <c r="AD1437" t="s">
        <v>72</v>
      </c>
      <c r="AE1437" t="s">
        <v>76</v>
      </c>
      <c r="AF1437" t="s">
        <v>7966</v>
      </c>
      <c r="AG1437" t="s">
        <v>77</v>
      </c>
    </row>
    <row r="1438" spans="1:33" x14ac:dyDescent="0.25">
      <c r="A1438" t="str">
        <f>"1336111038"</f>
        <v>1336111038</v>
      </c>
      <c r="B1438" t="str">
        <f>"01607583"</f>
        <v>01607583</v>
      </c>
      <c r="C1438" t="s">
        <v>8646</v>
      </c>
      <c r="D1438" t="s">
        <v>8647</v>
      </c>
      <c r="E1438" t="s">
        <v>8648</v>
      </c>
      <c r="L1438" t="s">
        <v>71</v>
      </c>
      <c r="M1438" t="s">
        <v>72</v>
      </c>
      <c r="R1438" t="s">
        <v>8646</v>
      </c>
      <c r="W1438" t="s">
        <v>8648</v>
      </c>
      <c r="X1438" t="s">
        <v>8649</v>
      </c>
      <c r="Y1438" t="s">
        <v>1163</v>
      </c>
      <c r="Z1438" t="s">
        <v>73</v>
      </c>
      <c r="AA1438" t="str">
        <f>"14072-3148"</f>
        <v>14072-3148</v>
      </c>
      <c r="AB1438" t="s">
        <v>74</v>
      </c>
      <c r="AC1438" t="s">
        <v>75</v>
      </c>
      <c r="AD1438" t="s">
        <v>72</v>
      </c>
      <c r="AE1438" t="s">
        <v>76</v>
      </c>
      <c r="AF1438" t="s">
        <v>7966</v>
      </c>
      <c r="AG1438" t="s">
        <v>77</v>
      </c>
    </row>
    <row r="1439" spans="1:33" x14ac:dyDescent="0.25">
      <c r="A1439" t="str">
        <f>"1598743908"</f>
        <v>1598743908</v>
      </c>
      <c r="B1439" t="str">
        <f>"03214380"</f>
        <v>03214380</v>
      </c>
      <c r="C1439" t="s">
        <v>8650</v>
      </c>
      <c r="D1439" t="s">
        <v>8651</v>
      </c>
      <c r="E1439" t="s">
        <v>8652</v>
      </c>
      <c r="H1439" t="s">
        <v>8653</v>
      </c>
      <c r="L1439" t="s">
        <v>71</v>
      </c>
      <c r="M1439" t="s">
        <v>72</v>
      </c>
      <c r="R1439" t="s">
        <v>8650</v>
      </c>
      <c r="W1439" t="s">
        <v>8654</v>
      </c>
      <c r="X1439" t="s">
        <v>286</v>
      </c>
      <c r="Y1439" t="s">
        <v>242</v>
      </c>
      <c r="Z1439" t="s">
        <v>73</v>
      </c>
      <c r="AA1439" t="str">
        <f>"14701-7077"</f>
        <v>14701-7077</v>
      </c>
      <c r="AB1439" t="s">
        <v>74</v>
      </c>
      <c r="AC1439" t="s">
        <v>75</v>
      </c>
      <c r="AD1439" t="s">
        <v>72</v>
      </c>
      <c r="AE1439" t="s">
        <v>76</v>
      </c>
      <c r="AF1439" t="s">
        <v>7966</v>
      </c>
      <c r="AG1439" t="s">
        <v>77</v>
      </c>
    </row>
    <row r="1440" spans="1:33" x14ac:dyDescent="0.25">
      <c r="A1440" t="str">
        <f>"1649262650"</f>
        <v>1649262650</v>
      </c>
      <c r="B1440" t="str">
        <f>"03197986"</f>
        <v>03197986</v>
      </c>
      <c r="C1440" t="s">
        <v>8655</v>
      </c>
      <c r="D1440" t="s">
        <v>8656</v>
      </c>
      <c r="E1440" t="s">
        <v>8657</v>
      </c>
      <c r="L1440" t="s">
        <v>71</v>
      </c>
      <c r="M1440" t="s">
        <v>72</v>
      </c>
      <c r="R1440" t="s">
        <v>8655</v>
      </c>
      <c r="W1440" t="s">
        <v>8657</v>
      </c>
      <c r="X1440" t="s">
        <v>286</v>
      </c>
      <c r="Y1440" t="s">
        <v>242</v>
      </c>
      <c r="Z1440" t="s">
        <v>73</v>
      </c>
      <c r="AA1440" t="str">
        <f>"14701-7077"</f>
        <v>14701-7077</v>
      </c>
      <c r="AB1440" t="s">
        <v>74</v>
      </c>
      <c r="AC1440" t="s">
        <v>75</v>
      </c>
      <c r="AD1440" t="s">
        <v>72</v>
      </c>
      <c r="AE1440" t="s">
        <v>76</v>
      </c>
      <c r="AF1440" t="s">
        <v>7966</v>
      </c>
      <c r="AG1440" t="s">
        <v>77</v>
      </c>
    </row>
    <row r="1441" spans="1:33" x14ac:dyDescent="0.25">
      <c r="A1441" t="str">
        <f>"1336143320"</f>
        <v>1336143320</v>
      </c>
      <c r="B1441" t="str">
        <f>"03238566"</f>
        <v>03238566</v>
      </c>
      <c r="C1441" t="s">
        <v>8658</v>
      </c>
      <c r="D1441" t="s">
        <v>8659</v>
      </c>
      <c r="E1441" t="s">
        <v>8660</v>
      </c>
      <c r="H1441" t="s">
        <v>8653</v>
      </c>
      <c r="L1441" t="s">
        <v>71</v>
      </c>
      <c r="M1441" t="s">
        <v>72</v>
      </c>
      <c r="R1441" t="s">
        <v>8658</v>
      </c>
      <c r="W1441" t="s">
        <v>8660</v>
      </c>
      <c r="X1441" t="s">
        <v>286</v>
      </c>
      <c r="Y1441" t="s">
        <v>242</v>
      </c>
      <c r="Z1441" t="s">
        <v>73</v>
      </c>
      <c r="AA1441" t="str">
        <f>"14701-7077"</f>
        <v>14701-7077</v>
      </c>
      <c r="AB1441" t="s">
        <v>74</v>
      </c>
      <c r="AC1441" t="s">
        <v>75</v>
      </c>
      <c r="AD1441" t="s">
        <v>72</v>
      </c>
      <c r="AE1441" t="s">
        <v>76</v>
      </c>
      <c r="AF1441" t="s">
        <v>7966</v>
      </c>
      <c r="AG1441" t="s">
        <v>77</v>
      </c>
    </row>
    <row r="1442" spans="1:33" x14ac:dyDescent="0.25">
      <c r="A1442" t="str">
        <f>"1932399615"</f>
        <v>1932399615</v>
      </c>
      <c r="B1442" t="str">
        <f>"03236660"</f>
        <v>03236660</v>
      </c>
      <c r="C1442" t="s">
        <v>8661</v>
      </c>
      <c r="D1442" t="s">
        <v>8662</v>
      </c>
      <c r="E1442" t="s">
        <v>8663</v>
      </c>
      <c r="H1442" t="s">
        <v>8664</v>
      </c>
      <c r="L1442" t="s">
        <v>71</v>
      </c>
      <c r="M1442" t="s">
        <v>72</v>
      </c>
      <c r="R1442" t="s">
        <v>8661</v>
      </c>
      <c r="W1442" t="s">
        <v>8665</v>
      </c>
      <c r="X1442" t="s">
        <v>8666</v>
      </c>
      <c r="Y1442" t="s">
        <v>242</v>
      </c>
      <c r="Z1442" t="s">
        <v>73</v>
      </c>
      <c r="AA1442" t="str">
        <f>"14701-7077"</f>
        <v>14701-7077</v>
      </c>
      <c r="AB1442" t="s">
        <v>74</v>
      </c>
      <c r="AC1442" t="s">
        <v>75</v>
      </c>
      <c r="AD1442" t="s">
        <v>72</v>
      </c>
      <c r="AE1442" t="s">
        <v>76</v>
      </c>
      <c r="AF1442" t="s">
        <v>7966</v>
      </c>
      <c r="AG1442" t="s">
        <v>77</v>
      </c>
    </row>
    <row r="1443" spans="1:33" x14ac:dyDescent="0.25">
      <c r="A1443" t="str">
        <f>"1013058213"</f>
        <v>1013058213</v>
      </c>
      <c r="B1443" t="str">
        <f>"02859869"</f>
        <v>02859869</v>
      </c>
      <c r="C1443" t="s">
        <v>8667</v>
      </c>
      <c r="D1443" t="s">
        <v>1881</v>
      </c>
      <c r="E1443" t="s">
        <v>1882</v>
      </c>
      <c r="G1443" t="s">
        <v>8667</v>
      </c>
      <c r="H1443" t="s">
        <v>1131</v>
      </c>
      <c r="J1443" t="s">
        <v>8668</v>
      </c>
      <c r="L1443" t="s">
        <v>79</v>
      </c>
      <c r="M1443" t="s">
        <v>72</v>
      </c>
      <c r="R1443" t="s">
        <v>1883</v>
      </c>
      <c r="W1443" t="s">
        <v>1883</v>
      </c>
      <c r="X1443" t="s">
        <v>1884</v>
      </c>
      <c r="Y1443" t="s">
        <v>919</v>
      </c>
      <c r="Z1443" t="s">
        <v>73</v>
      </c>
      <c r="AA1443" t="str">
        <f>"14132-9128"</f>
        <v>14132-9128</v>
      </c>
      <c r="AB1443" t="s">
        <v>74</v>
      </c>
      <c r="AC1443" t="s">
        <v>75</v>
      </c>
      <c r="AD1443" t="s">
        <v>72</v>
      </c>
      <c r="AE1443" t="s">
        <v>76</v>
      </c>
      <c r="AG1443" t="s">
        <v>77</v>
      </c>
    </row>
    <row r="1444" spans="1:33" x14ac:dyDescent="0.25">
      <c r="A1444" t="str">
        <f>"1518957612"</f>
        <v>1518957612</v>
      </c>
      <c r="B1444" t="str">
        <f>"01812968"</f>
        <v>01812968</v>
      </c>
      <c r="C1444" t="s">
        <v>8669</v>
      </c>
      <c r="D1444" t="s">
        <v>8670</v>
      </c>
      <c r="E1444" t="s">
        <v>8671</v>
      </c>
      <c r="L1444" t="s">
        <v>71</v>
      </c>
      <c r="M1444" t="s">
        <v>72</v>
      </c>
      <c r="R1444" t="s">
        <v>8672</v>
      </c>
      <c r="W1444" t="s">
        <v>8671</v>
      </c>
      <c r="X1444" t="s">
        <v>8673</v>
      </c>
      <c r="Y1444" t="s">
        <v>209</v>
      </c>
      <c r="Z1444" t="s">
        <v>73</v>
      </c>
      <c r="AA1444" t="str">
        <f>"14304-1225"</f>
        <v>14304-1225</v>
      </c>
      <c r="AB1444" t="s">
        <v>74</v>
      </c>
      <c r="AC1444" t="s">
        <v>75</v>
      </c>
      <c r="AD1444" t="s">
        <v>72</v>
      </c>
      <c r="AE1444" t="s">
        <v>76</v>
      </c>
      <c r="AF1444" t="s">
        <v>4431</v>
      </c>
      <c r="AG1444" t="s">
        <v>77</v>
      </c>
    </row>
    <row r="1445" spans="1:33" x14ac:dyDescent="0.25">
      <c r="A1445" t="str">
        <f>"1811987944"</f>
        <v>1811987944</v>
      </c>
      <c r="B1445" t="str">
        <f>"01573784"</f>
        <v>01573784</v>
      </c>
      <c r="C1445" t="s">
        <v>8674</v>
      </c>
      <c r="D1445" t="s">
        <v>8675</v>
      </c>
      <c r="E1445" t="s">
        <v>8676</v>
      </c>
      <c r="L1445" t="s">
        <v>79</v>
      </c>
      <c r="M1445" t="s">
        <v>72</v>
      </c>
      <c r="R1445" t="s">
        <v>8677</v>
      </c>
      <c r="W1445" t="s">
        <v>8676</v>
      </c>
      <c r="X1445" t="s">
        <v>204</v>
      </c>
      <c r="Y1445" t="s">
        <v>117</v>
      </c>
      <c r="Z1445" t="s">
        <v>73</v>
      </c>
      <c r="AA1445" t="str">
        <f>"14263-0001"</f>
        <v>14263-0001</v>
      </c>
      <c r="AB1445" t="s">
        <v>74</v>
      </c>
      <c r="AC1445" t="s">
        <v>75</v>
      </c>
      <c r="AD1445" t="s">
        <v>72</v>
      </c>
      <c r="AE1445" t="s">
        <v>76</v>
      </c>
      <c r="AF1445" t="s">
        <v>4043</v>
      </c>
      <c r="AG1445" t="s">
        <v>77</v>
      </c>
    </row>
    <row r="1446" spans="1:33" x14ac:dyDescent="0.25">
      <c r="A1446" t="str">
        <f>"1316937444"</f>
        <v>1316937444</v>
      </c>
      <c r="B1446" t="str">
        <f>"02129711"</f>
        <v>02129711</v>
      </c>
      <c r="C1446" t="s">
        <v>8678</v>
      </c>
      <c r="D1446" t="s">
        <v>8679</v>
      </c>
      <c r="E1446" t="s">
        <v>8680</v>
      </c>
      <c r="L1446" t="s">
        <v>79</v>
      </c>
      <c r="M1446" t="s">
        <v>72</v>
      </c>
      <c r="R1446" t="s">
        <v>8681</v>
      </c>
      <c r="W1446" t="s">
        <v>8680</v>
      </c>
      <c r="X1446" t="s">
        <v>204</v>
      </c>
      <c r="Y1446" t="s">
        <v>117</v>
      </c>
      <c r="Z1446" t="s">
        <v>73</v>
      </c>
      <c r="AA1446" t="str">
        <f>"14263-0001"</f>
        <v>14263-0001</v>
      </c>
      <c r="AB1446" t="s">
        <v>74</v>
      </c>
      <c r="AC1446" t="s">
        <v>75</v>
      </c>
      <c r="AD1446" t="s">
        <v>72</v>
      </c>
      <c r="AE1446" t="s">
        <v>76</v>
      </c>
      <c r="AF1446" t="s">
        <v>4043</v>
      </c>
      <c r="AG1446" t="s">
        <v>77</v>
      </c>
    </row>
    <row r="1447" spans="1:33" x14ac:dyDescent="0.25">
      <c r="A1447" t="str">
        <f>"1174541213"</f>
        <v>1174541213</v>
      </c>
      <c r="B1447" t="str">
        <f>"02501119"</f>
        <v>02501119</v>
      </c>
      <c r="C1447" t="s">
        <v>8682</v>
      </c>
      <c r="D1447" t="s">
        <v>370</v>
      </c>
      <c r="E1447" t="s">
        <v>371</v>
      </c>
      <c r="L1447" t="s">
        <v>79</v>
      </c>
      <c r="M1447" t="s">
        <v>72</v>
      </c>
      <c r="R1447" t="s">
        <v>372</v>
      </c>
      <c r="W1447" t="s">
        <v>371</v>
      </c>
      <c r="X1447" t="s">
        <v>174</v>
      </c>
      <c r="Y1447" t="s">
        <v>111</v>
      </c>
      <c r="Z1447" t="s">
        <v>73</v>
      </c>
      <c r="AA1447" t="str">
        <f>"14642-0001"</f>
        <v>14642-0001</v>
      </c>
      <c r="AB1447" t="s">
        <v>74</v>
      </c>
      <c r="AC1447" t="s">
        <v>75</v>
      </c>
      <c r="AD1447" t="s">
        <v>72</v>
      </c>
      <c r="AE1447" t="s">
        <v>76</v>
      </c>
      <c r="AF1447" t="s">
        <v>4043</v>
      </c>
      <c r="AG1447" t="s">
        <v>77</v>
      </c>
    </row>
    <row r="1448" spans="1:33" x14ac:dyDescent="0.25">
      <c r="A1448" t="str">
        <f>"1386790517"</f>
        <v>1386790517</v>
      </c>
      <c r="B1448" t="str">
        <f>"02949342"</f>
        <v>02949342</v>
      </c>
      <c r="C1448" t="s">
        <v>8683</v>
      </c>
      <c r="D1448" t="s">
        <v>2332</v>
      </c>
      <c r="E1448" t="s">
        <v>2333</v>
      </c>
      <c r="L1448" t="s">
        <v>79</v>
      </c>
      <c r="M1448" t="s">
        <v>72</v>
      </c>
      <c r="R1448" t="s">
        <v>2334</v>
      </c>
      <c r="W1448" t="s">
        <v>2333</v>
      </c>
      <c r="X1448" t="s">
        <v>204</v>
      </c>
      <c r="Y1448" t="s">
        <v>117</v>
      </c>
      <c r="Z1448" t="s">
        <v>73</v>
      </c>
      <c r="AA1448" t="str">
        <f>"14263-0001"</f>
        <v>14263-0001</v>
      </c>
      <c r="AB1448" t="s">
        <v>74</v>
      </c>
      <c r="AC1448" t="s">
        <v>75</v>
      </c>
      <c r="AD1448" t="s">
        <v>72</v>
      </c>
      <c r="AE1448" t="s">
        <v>76</v>
      </c>
      <c r="AF1448" t="s">
        <v>4043</v>
      </c>
      <c r="AG1448" t="s">
        <v>77</v>
      </c>
    </row>
    <row r="1449" spans="1:33" x14ac:dyDescent="0.25">
      <c r="A1449" t="str">
        <f>"1316140296"</f>
        <v>1316140296</v>
      </c>
      <c r="B1449" t="str">
        <f>"02870657"</f>
        <v>02870657</v>
      </c>
      <c r="C1449" t="s">
        <v>8684</v>
      </c>
      <c r="D1449" t="s">
        <v>3780</v>
      </c>
      <c r="E1449" t="s">
        <v>3781</v>
      </c>
      <c r="L1449" t="s">
        <v>79</v>
      </c>
      <c r="M1449" t="s">
        <v>72</v>
      </c>
      <c r="R1449" t="s">
        <v>3782</v>
      </c>
      <c r="W1449" t="s">
        <v>3781</v>
      </c>
      <c r="X1449" t="s">
        <v>295</v>
      </c>
      <c r="Y1449" t="s">
        <v>117</v>
      </c>
      <c r="Z1449" t="s">
        <v>73</v>
      </c>
      <c r="AA1449" t="str">
        <f>"14215-3021"</f>
        <v>14215-3021</v>
      </c>
      <c r="AB1449" t="s">
        <v>74</v>
      </c>
      <c r="AC1449" t="s">
        <v>75</v>
      </c>
      <c r="AD1449" t="s">
        <v>72</v>
      </c>
      <c r="AE1449" t="s">
        <v>76</v>
      </c>
      <c r="AF1449" t="s">
        <v>4043</v>
      </c>
      <c r="AG1449" t="s">
        <v>77</v>
      </c>
    </row>
    <row r="1450" spans="1:33" x14ac:dyDescent="0.25">
      <c r="A1450" t="str">
        <f>"1679587471"</f>
        <v>1679587471</v>
      </c>
      <c r="B1450" t="str">
        <f>"03273874"</f>
        <v>03273874</v>
      </c>
      <c r="C1450" t="s">
        <v>8685</v>
      </c>
      <c r="D1450" t="s">
        <v>8686</v>
      </c>
      <c r="E1450" t="s">
        <v>8687</v>
      </c>
      <c r="L1450" t="s">
        <v>79</v>
      </c>
      <c r="M1450" t="s">
        <v>72</v>
      </c>
      <c r="R1450" t="s">
        <v>8688</v>
      </c>
      <c r="W1450" t="s">
        <v>8687</v>
      </c>
      <c r="X1450" t="s">
        <v>3929</v>
      </c>
      <c r="Y1450" t="s">
        <v>200</v>
      </c>
      <c r="Z1450" t="s">
        <v>177</v>
      </c>
      <c r="AA1450" t="str">
        <f>"15213-2536"</f>
        <v>15213-2536</v>
      </c>
      <c r="AB1450" t="s">
        <v>74</v>
      </c>
      <c r="AC1450" t="s">
        <v>75</v>
      </c>
      <c r="AD1450" t="s">
        <v>72</v>
      </c>
      <c r="AE1450" t="s">
        <v>76</v>
      </c>
      <c r="AF1450" t="s">
        <v>4043</v>
      </c>
      <c r="AG1450" t="s">
        <v>77</v>
      </c>
    </row>
    <row r="1451" spans="1:33" x14ac:dyDescent="0.25">
      <c r="A1451" t="str">
        <f>"1417186354"</f>
        <v>1417186354</v>
      </c>
      <c r="B1451" t="str">
        <f>"03383502"</f>
        <v>03383502</v>
      </c>
      <c r="C1451" t="s">
        <v>8689</v>
      </c>
      <c r="D1451" t="s">
        <v>8690</v>
      </c>
      <c r="E1451" t="s">
        <v>8691</v>
      </c>
      <c r="L1451" t="s">
        <v>79</v>
      </c>
      <c r="M1451" t="s">
        <v>72</v>
      </c>
      <c r="R1451" t="s">
        <v>8691</v>
      </c>
      <c r="W1451" t="s">
        <v>8691</v>
      </c>
      <c r="X1451" t="s">
        <v>4163</v>
      </c>
      <c r="Y1451" t="s">
        <v>117</v>
      </c>
      <c r="Z1451" t="s">
        <v>73</v>
      </c>
      <c r="AA1451" t="str">
        <f>"14263-0001"</f>
        <v>14263-0001</v>
      </c>
      <c r="AB1451" t="s">
        <v>74</v>
      </c>
      <c r="AC1451" t="s">
        <v>75</v>
      </c>
      <c r="AD1451" t="s">
        <v>72</v>
      </c>
      <c r="AE1451" t="s">
        <v>76</v>
      </c>
      <c r="AF1451" t="s">
        <v>4043</v>
      </c>
      <c r="AG1451" t="s">
        <v>77</v>
      </c>
    </row>
    <row r="1452" spans="1:33" x14ac:dyDescent="0.25">
      <c r="A1452" t="str">
        <f>"1033198577"</f>
        <v>1033198577</v>
      </c>
      <c r="B1452" t="str">
        <f>"01604764"</f>
        <v>01604764</v>
      </c>
      <c r="C1452" t="s">
        <v>8692</v>
      </c>
      <c r="D1452" t="s">
        <v>2977</v>
      </c>
      <c r="E1452" t="s">
        <v>2978</v>
      </c>
      <c r="L1452" t="s">
        <v>79</v>
      </c>
      <c r="M1452" t="s">
        <v>72</v>
      </c>
      <c r="R1452" t="s">
        <v>2979</v>
      </c>
      <c r="W1452" t="s">
        <v>2978</v>
      </c>
      <c r="X1452" t="s">
        <v>2980</v>
      </c>
      <c r="Y1452" t="s">
        <v>307</v>
      </c>
      <c r="Z1452" t="s">
        <v>73</v>
      </c>
      <c r="AA1452" t="str">
        <f>"14020-1631"</f>
        <v>14020-1631</v>
      </c>
      <c r="AB1452" t="s">
        <v>74</v>
      </c>
      <c r="AC1452" t="s">
        <v>75</v>
      </c>
      <c r="AD1452" t="s">
        <v>72</v>
      </c>
      <c r="AE1452" t="s">
        <v>76</v>
      </c>
      <c r="AF1452" t="s">
        <v>4043</v>
      </c>
      <c r="AG1452" t="s">
        <v>77</v>
      </c>
    </row>
    <row r="1453" spans="1:33" x14ac:dyDescent="0.25">
      <c r="A1453" t="str">
        <f>"1134336621"</f>
        <v>1134336621</v>
      </c>
      <c r="B1453" t="str">
        <f>"03048831"</f>
        <v>03048831</v>
      </c>
      <c r="C1453" t="s">
        <v>8693</v>
      </c>
      <c r="D1453" t="s">
        <v>2201</v>
      </c>
      <c r="E1453" t="s">
        <v>2202</v>
      </c>
      <c r="L1453" t="s">
        <v>79</v>
      </c>
      <c r="M1453" t="s">
        <v>72</v>
      </c>
      <c r="R1453" t="s">
        <v>2203</v>
      </c>
      <c r="W1453" t="s">
        <v>2202</v>
      </c>
      <c r="X1453" t="s">
        <v>204</v>
      </c>
      <c r="Y1453" t="s">
        <v>117</v>
      </c>
      <c r="Z1453" t="s">
        <v>73</v>
      </c>
      <c r="AA1453" t="str">
        <f>"14263-0001"</f>
        <v>14263-0001</v>
      </c>
      <c r="AB1453" t="s">
        <v>74</v>
      </c>
      <c r="AC1453" t="s">
        <v>75</v>
      </c>
      <c r="AD1453" t="s">
        <v>72</v>
      </c>
      <c r="AE1453" t="s">
        <v>76</v>
      </c>
      <c r="AF1453" t="s">
        <v>4043</v>
      </c>
      <c r="AG1453" t="s">
        <v>77</v>
      </c>
    </row>
    <row r="1454" spans="1:33" x14ac:dyDescent="0.25">
      <c r="A1454" t="str">
        <f>"1770574808"</f>
        <v>1770574808</v>
      </c>
      <c r="B1454" t="str">
        <f>"01654526"</f>
        <v>01654526</v>
      </c>
      <c r="C1454" t="s">
        <v>8694</v>
      </c>
      <c r="D1454" t="s">
        <v>774</v>
      </c>
      <c r="E1454" t="s">
        <v>775</v>
      </c>
      <c r="L1454" t="s">
        <v>79</v>
      </c>
      <c r="M1454" t="s">
        <v>72</v>
      </c>
      <c r="R1454" t="s">
        <v>776</v>
      </c>
      <c r="W1454" t="s">
        <v>775</v>
      </c>
      <c r="X1454" t="s">
        <v>204</v>
      </c>
      <c r="Y1454" t="s">
        <v>117</v>
      </c>
      <c r="Z1454" t="s">
        <v>73</v>
      </c>
      <c r="AA1454" t="str">
        <f>"14263-0001"</f>
        <v>14263-0001</v>
      </c>
      <c r="AB1454" t="s">
        <v>74</v>
      </c>
      <c r="AC1454" t="s">
        <v>75</v>
      </c>
      <c r="AD1454" t="s">
        <v>72</v>
      </c>
      <c r="AE1454" t="s">
        <v>76</v>
      </c>
      <c r="AF1454" t="s">
        <v>4043</v>
      </c>
      <c r="AG1454" t="s">
        <v>77</v>
      </c>
    </row>
    <row r="1455" spans="1:33" x14ac:dyDescent="0.25">
      <c r="A1455" t="str">
        <f>"1407847544"</f>
        <v>1407847544</v>
      </c>
      <c r="B1455" t="str">
        <f>"02218995"</f>
        <v>02218995</v>
      </c>
      <c r="C1455" t="s">
        <v>8695</v>
      </c>
      <c r="D1455" t="s">
        <v>8696</v>
      </c>
      <c r="E1455" t="s">
        <v>8697</v>
      </c>
      <c r="L1455" t="s">
        <v>79</v>
      </c>
      <c r="M1455" t="s">
        <v>72</v>
      </c>
      <c r="R1455" t="s">
        <v>8698</v>
      </c>
      <c r="W1455" t="s">
        <v>8697</v>
      </c>
      <c r="X1455" t="s">
        <v>295</v>
      </c>
      <c r="Y1455" t="s">
        <v>117</v>
      </c>
      <c r="Z1455" t="s">
        <v>73</v>
      </c>
      <c r="AA1455" t="str">
        <f>"14215-3021"</f>
        <v>14215-3021</v>
      </c>
      <c r="AB1455" t="s">
        <v>74</v>
      </c>
      <c r="AC1455" t="s">
        <v>75</v>
      </c>
      <c r="AD1455" t="s">
        <v>72</v>
      </c>
      <c r="AE1455" t="s">
        <v>76</v>
      </c>
      <c r="AF1455" t="s">
        <v>4043</v>
      </c>
      <c r="AG1455" t="s">
        <v>77</v>
      </c>
    </row>
    <row r="1456" spans="1:33" x14ac:dyDescent="0.25">
      <c r="A1456" t="str">
        <f>"1245221001"</f>
        <v>1245221001</v>
      </c>
      <c r="B1456" t="str">
        <f>"02686437"</f>
        <v>02686437</v>
      </c>
      <c r="C1456" t="s">
        <v>8699</v>
      </c>
      <c r="D1456" t="s">
        <v>8700</v>
      </c>
      <c r="E1456" t="s">
        <v>8701</v>
      </c>
      <c r="L1456" t="s">
        <v>79</v>
      </c>
      <c r="M1456" t="s">
        <v>72</v>
      </c>
      <c r="R1456" t="s">
        <v>8701</v>
      </c>
      <c r="W1456" t="s">
        <v>8701</v>
      </c>
      <c r="X1456" t="s">
        <v>204</v>
      </c>
      <c r="Y1456" t="s">
        <v>117</v>
      </c>
      <c r="Z1456" t="s">
        <v>73</v>
      </c>
      <c r="AA1456" t="str">
        <f>"14263-0001"</f>
        <v>14263-0001</v>
      </c>
      <c r="AB1456" t="s">
        <v>74</v>
      </c>
      <c r="AC1456" t="s">
        <v>75</v>
      </c>
      <c r="AD1456" t="s">
        <v>72</v>
      </c>
      <c r="AE1456" t="s">
        <v>76</v>
      </c>
      <c r="AF1456" t="s">
        <v>4043</v>
      </c>
      <c r="AG1456" t="s">
        <v>77</v>
      </c>
    </row>
    <row r="1457" spans="1:33" x14ac:dyDescent="0.25">
      <c r="A1457" t="str">
        <f>"1215928098"</f>
        <v>1215928098</v>
      </c>
      <c r="B1457" t="str">
        <f>"02395408"</f>
        <v>02395408</v>
      </c>
      <c r="C1457" t="s">
        <v>8702</v>
      </c>
      <c r="D1457" t="s">
        <v>2679</v>
      </c>
      <c r="E1457" t="s">
        <v>2680</v>
      </c>
      <c r="L1457" t="s">
        <v>79</v>
      </c>
      <c r="M1457" t="s">
        <v>72</v>
      </c>
      <c r="R1457" t="s">
        <v>2681</v>
      </c>
      <c r="W1457" t="s">
        <v>2680</v>
      </c>
      <c r="X1457" t="s">
        <v>1916</v>
      </c>
      <c r="Y1457" t="s">
        <v>117</v>
      </c>
      <c r="Z1457" t="s">
        <v>73</v>
      </c>
      <c r="AA1457" t="str">
        <f>"14263-0001"</f>
        <v>14263-0001</v>
      </c>
      <c r="AB1457" t="s">
        <v>74</v>
      </c>
      <c r="AC1457" t="s">
        <v>75</v>
      </c>
      <c r="AD1457" t="s">
        <v>72</v>
      </c>
      <c r="AE1457" t="s">
        <v>76</v>
      </c>
      <c r="AF1457" t="s">
        <v>4043</v>
      </c>
      <c r="AG1457" t="s">
        <v>77</v>
      </c>
    </row>
    <row r="1458" spans="1:33" x14ac:dyDescent="0.25">
      <c r="A1458" t="str">
        <f>"1326093980"</f>
        <v>1326093980</v>
      </c>
      <c r="B1458" t="str">
        <f>"03531537"</f>
        <v>03531537</v>
      </c>
      <c r="C1458" t="s">
        <v>8703</v>
      </c>
      <c r="D1458" t="s">
        <v>8704</v>
      </c>
      <c r="E1458" t="s">
        <v>8705</v>
      </c>
      <c r="L1458" t="s">
        <v>71</v>
      </c>
      <c r="M1458" t="s">
        <v>72</v>
      </c>
      <c r="R1458" t="s">
        <v>8706</v>
      </c>
      <c r="W1458" t="s">
        <v>8705</v>
      </c>
      <c r="X1458" t="s">
        <v>204</v>
      </c>
      <c r="Y1458" t="s">
        <v>117</v>
      </c>
      <c r="Z1458" t="s">
        <v>73</v>
      </c>
      <c r="AA1458" t="str">
        <f>"14263-0001"</f>
        <v>14263-0001</v>
      </c>
      <c r="AB1458" t="s">
        <v>74</v>
      </c>
      <c r="AC1458" t="s">
        <v>75</v>
      </c>
      <c r="AD1458" t="s">
        <v>72</v>
      </c>
      <c r="AE1458" t="s">
        <v>76</v>
      </c>
      <c r="AF1458" t="s">
        <v>4043</v>
      </c>
      <c r="AG1458" t="s">
        <v>77</v>
      </c>
    </row>
    <row r="1459" spans="1:33" x14ac:dyDescent="0.25">
      <c r="A1459" t="str">
        <f>"1932142379"</f>
        <v>1932142379</v>
      </c>
      <c r="B1459" t="str">
        <f>"02872806"</f>
        <v>02872806</v>
      </c>
      <c r="C1459" t="s">
        <v>8707</v>
      </c>
      <c r="D1459" t="s">
        <v>8708</v>
      </c>
      <c r="E1459" t="s">
        <v>8709</v>
      </c>
      <c r="L1459" t="s">
        <v>79</v>
      </c>
      <c r="M1459" t="s">
        <v>72</v>
      </c>
      <c r="R1459" t="s">
        <v>8710</v>
      </c>
      <c r="W1459" t="s">
        <v>8709</v>
      </c>
      <c r="X1459" t="s">
        <v>204</v>
      </c>
      <c r="Y1459" t="s">
        <v>117</v>
      </c>
      <c r="Z1459" t="s">
        <v>73</v>
      </c>
      <c r="AA1459" t="str">
        <f>"14263-0001"</f>
        <v>14263-0001</v>
      </c>
      <c r="AB1459" t="s">
        <v>74</v>
      </c>
      <c r="AC1459" t="s">
        <v>75</v>
      </c>
      <c r="AD1459" t="s">
        <v>72</v>
      </c>
      <c r="AE1459" t="s">
        <v>76</v>
      </c>
      <c r="AF1459" t="s">
        <v>4043</v>
      </c>
      <c r="AG1459" t="s">
        <v>77</v>
      </c>
    </row>
    <row r="1460" spans="1:33" x14ac:dyDescent="0.25">
      <c r="A1460" t="str">
        <f>"1477546034"</f>
        <v>1477546034</v>
      </c>
      <c r="B1460" t="str">
        <f>"01292539"</f>
        <v>01292539</v>
      </c>
      <c r="C1460" t="s">
        <v>8711</v>
      </c>
      <c r="D1460" t="s">
        <v>1297</v>
      </c>
      <c r="E1460" t="s">
        <v>1298</v>
      </c>
      <c r="G1460" t="s">
        <v>5010</v>
      </c>
      <c r="H1460" t="s">
        <v>1119</v>
      </c>
      <c r="J1460" t="s">
        <v>5011</v>
      </c>
      <c r="L1460" t="s">
        <v>79</v>
      </c>
      <c r="M1460" t="s">
        <v>72</v>
      </c>
      <c r="R1460" t="s">
        <v>1299</v>
      </c>
      <c r="W1460" t="s">
        <v>1298</v>
      </c>
      <c r="X1460" t="s">
        <v>385</v>
      </c>
      <c r="Y1460" t="s">
        <v>228</v>
      </c>
      <c r="Z1460" t="s">
        <v>73</v>
      </c>
      <c r="AA1460" t="str">
        <f>"14226-1738"</f>
        <v>14226-1738</v>
      </c>
      <c r="AB1460" t="s">
        <v>74</v>
      </c>
      <c r="AC1460" t="s">
        <v>75</v>
      </c>
      <c r="AD1460" t="s">
        <v>72</v>
      </c>
      <c r="AE1460" t="s">
        <v>76</v>
      </c>
      <c r="AF1460" t="s">
        <v>3974</v>
      </c>
      <c r="AG1460" t="s">
        <v>77</v>
      </c>
    </row>
    <row r="1461" spans="1:33" x14ac:dyDescent="0.25">
      <c r="A1461" t="str">
        <f>"1821009911"</f>
        <v>1821009911</v>
      </c>
      <c r="B1461" t="str">
        <f>"02795917"</f>
        <v>02795917</v>
      </c>
      <c r="C1461" t="s">
        <v>8712</v>
      </c>
      <c r="D1461" t="s">
        <v>8713</v>
      </c>
      <c r="E1461" t="s">
        <v>8714</v>
      </c>
      <c r="G1461" t="s">
        <v>6895</v>
      </c>
      <c r="H1461" t="s">
        <v>6896</v>
      </c>
      <c r="J1461" t="s">
        <v>6897</v>
      </c>
      <c r="L1461" t="s">
        <v>80</v>
      </c>
      <c r="M1461" t="s">
        <v>81</v>
      </c>
      <c r="R1461" t="s">
        <v>8715</v>
      </c>
      <c r="W1461" t="s">
        <v>8714</v>
      </c>
      <c r="X1461" t="s">
        <v>1597</v>
      </c>
      <c r="Y1461" t="s">
        <v>117</v>
      </c>
      <c r="Z1461" t="s">
        <v>73</v>
      </c>
      <c r="AA1461" t="str">
        <f>"14212-1845"</f>
        <v>14212-1845</v>
      </c>
      <c r="AB1461" t="s">
        <v>74</v>
      </c>
      <c r="AC1461" t="s">
        <v>75</v>
      </c>
      <c r="AD1461" t="s">
        <v>72</v>
      </c>
      <c r="AE1461" t="s">
        <v>76</v>
      </c>
      <c r="AF1461" t="s">
        <v>3961</v>
      </c>
      <c r="AG1461" t="s">
        <v>77</v>
      </c>
    </row>
    <row r="1462" spans="1:33" x14ac:dyDescent="0.25">
      <c r="A1462" t="str">
        <f>"1366568420"</f>
        <v>1366568420</v>
      </c>
      <c r="B1462" t="str">
        <f>"02884962"</f>
        <v>02884962</v>
      </c>
      <c r="C1462" t="s">
        <v>8716</v>
      </c>
      <c r="D1462" t="s">
        <v>2307</v>
      </c>
      <c r="E1462" t="s">
        <v>2308</v>
      </c>
      <c r="G1462" t="s">
        <v>7915</v>
      </c>
      <c r="H1462" t="s">
        <v>2543</v>
      </c>
      <c r="J1462" t="s">
        <v>7916</v>
      </c>
      <c r="L1462" t="s">
        <v>71</v>
      </c>
      <c r="M1462" t="s">
        <v>72</v>
      </c>
      <c r="R1462" t="s">
        <v>2309</v>
      </c>
      <c r="W1462" t="s">
        <v>2310</v>
      </c>
      <c r="X1462" t="s">
        <v>2311</v>
      </c>
      <c r="Y1462" t="s">
        <v>221</v>
      </c>
      <c r="Z1462" t="s">
        <v>73</v>
      </c>
      <c r="AA1462" t="str">
        <f>"14221-2700"</f>
        <v>14221-2700</v>
      </c>
      <c r="AB1462" t="s">
        <v>74</v>
      </c>
      <c r="AC1462" t="s">
        <v>75</v>
      </c>
      <c r="AD1462" t="s">
        <v>72</v>
      </c>
      <c r="AE1462" t="s">
        <v>76</v>
      </c>
      <c r="AF1462" t="s">
        <v>3974</v>
      </c>
      <c r="AG1462" t="s">
        <v>77</v>
      </c>
    </row>
    <row r="1463" spans="1:33" x14ac:dyDescent="0.25">
      <c r="A1463" t="str">
        <f>"1114947363"</f>
        <v>1114947363</v>
      </c>
      <c r="B1463" t="str">
        <f>"02503799"</f>
        <v>02503799</v>
      </c>
      <c r="C1463" t="s">
        <v>8717</v>
      </c>
      <c r="D1463" t="s">
        <v>2936</v>
      </c>
      <c r="E1463" t="s">
        <v>2937</v>
      </c>
      <c r="G1463" t="s">
        <v>3952</v>
      </c>
      <c r="H1463" t="s">
        <v>3953</v>
      </c>
      <c r="J1463" t="s">
        <v>3954</v>
      </c>
      <c r="L1463" t="s">
        <v>79</v>
      </c>
      <c r="M1463" t="s">
        <v>72</v>
      </c>
      <c r="R1463" t="s">
        <v>2938</v>
      </c>
      <c r="W1463" t="s">
        <v>2939</v>
      </c>
      <c r="X1463" t="s">
        <v>250</v>
      </c>
      <c r="Y1463" t="s">
        <v>217</v>
      </c>
      <c r="Z1463" t="s">
        <v>73</v>
      </c>
      <c r="AA1463" t="str">
        <f>"14760-1513"</f>
        <v>14760-1513</v>
      </c>
      <c r="AB1463" t="s">
        <v>74</v>
      </c>
      <c r="AC1463" t="s">
        <v>75</v>
      </c>
      <c r="AD1463" t="s">
        <v>72</v>
      </c>
      <c r="AE1463" t="s">
        <v>76</v>
      </c>
      <c r="AG1463" t="s">
        <v>77</v>
      </c>
    </row>
    <row r="1464" spans="1:33" x14ac:dyDescent="0.25">
      <c r="A1464" t="str">
        <f>"1437140985"</f>
        <v>1437140985</v>
      </c>
      <c r="B1464" t="str">
        <f>"01028606"</f>
        <v>01028606</v>
      </c>
      <c r="C1464" t="s">
        <v>8718</v>
      </c>
      <c r="D1464" t="s">
        <v>2597</v>
      </c>
      <c r="E1464" t="s">
        <v>2598</v>
      </c>
      <c r="G1464" t="s">
        <v>8719</v>
      </c>
      <c r="H1464" t="s">
        <v>8720</v>
      </c>
      <c r="J1464" t="s">
        <v>8721</v>
      </c>
      <c r="L1464" t="s">
        <v>80</v>
      </c>
      <c r="M1464" t="s">
        <v>72</v>
      </c>
      <c r="R1464" t="s">
        <v>2599</v>
      </c>
      <c r="W1464" t="s">
        <v>2600</v>
      </c>
      <c r="X1464" t="s">
        <v>437</v>
      </c>
      <c r="Y1464" t="s">
        <v>438</v>
      </c>
      <c r="Z1464" t="s">
        <v>73</v>
      </c>
      <c r="AA1464" t="str">
        <f>"14070-1111"</f>
        <v>14070-1111</v>
      </c>
      <c r="AB1464" t="s">
        <v>74</v>
      </c>
      <c r="AC1464" t="s">
        <v>75</v>
      </c>
      <c r="AD1464" t="s">
        <v>72</v>
      </c>
      <c r="AE1464" t="s">
        <v>76</v>
      </c>
      <c r="AF1464" t="s">
        <v>7887</v>
      </c>
      <c r="AG1464" t="s">
        <v>77</v>
      </c>
    </row>
    <row r="1465" spans="1:33" x14ac:dyDescent="0.25">
      <c r="A1465" t="str">
        <f>"1982847331"</f>
        <v>1982847331</v>
      </c>
      <c r="B1465" t="str">
        <f>"03522474"</f>
        <v>03522474</v>
      </c>
      <c r="C1465" t="s">
        <v>8722</v>
      </c>
      <c r="D1465" t="s">
        <v>8723</v>
      </c>
      <c r="E1465" t="s">
        <v>8724</v>
      </c>
      <c r="G1465" t="s">
        <v>5609</v>
      </c>
      <c r="H1465" t="s">
        <v>628</v>
      </c>
      <c r="J1465" t="s">
        <v>5610</v>
      </c>
      <c r="L1465" t="s">
        <v>80</v>
      </c>
      <c r="M1465" t="s">
        <v>72</v>
      </c>
      <c r="R1465" t="s">
        <v>8725</v>
      </c>
      <c r="W1465" t="s">
        <v>8724</v>
      </c>
      <c r="X1465" t="s">
        <v>5612</v>
      </c>
      <c r="Y1465" t="s">
        <v>365</v>
      </c>
      <c r="Z1465" t="s">
        <v>73</v>
      </c>
      <c r="AA1465" t="str">
        <f>"14217-1234"</f>
        <v>14217-1234</v>
      </c>
      <c r="AB1465" t="s">
        <v>74</v>
      </c>
      <c r="AC1465" t="s">
        <v>75</v>
      </c>
      <c r="AD1465" t="s">
        <v>72</v>
      </c>
      <c r="AE1465" t="s">
        <v>76</v>
      </c>
      <c r="AF1465" t="s">
        <v>3961</v>
      </c>
      <c r="AG1465" t="s">
        <v>77</v>
      </c>
    </row>
    <row r="1466" spans="1:33" x14ac:dyDescent="0.25">
      <c r="A1466" t="str">
        <f>"1376530105"</f>
        <v>1376530105</v>
      </c>
      <c r="B1466" t="str">
        <f>"01478211"</f>
        <v>01478211</v>
      </c>
      <c r="C1466" t="s">
        <v>8726</v>
      </c>
      <c r="D1466" t="s">
        <v>8727</v>
      </c>
      <c r="E1466" t="s">
        <v>8728</v>
      </c>
      <c r="G1466" t="s">
        <v>8729</v>
      </c>
      <c r="H1466" t="s">
        <v>8730</v>
      </c>
      <c r="J1466" t="s">
        <v>8731</v>
      </c>
      <c r="L1466" t="s">
        <v>79</v>
      </c>
      <c r="M1466" t="s">
        <v>72</v>
      </c>
      <c r="R1466" t="s">
        <v>8732</v>
      </c>
      <c r="W1466" t="s">
        <v>8728</v>
      </c>
      <c r="X1466" t="s">
        <v>243</v>
      </c>
      <c r="Y1466" t="s">
        <v>117</v>
      </c>
      <c r="Z1466" t="s">
        <v>73</v>
      </c>
      <c r="AA1466" t="str">
        <f>"14203-1126"</f>
        <v>14203-1126</v>
      </c>
      <c r="AB1466" t="s">
        <v>74</v>
      </c>
      <c r="AC1466" t="s">
        <v>75</v>
      </c>
      <c r="AD1466" t="s">
        <v>72</v>
      </c>
      <c r="AE1466" t="s">
        <v>76</v>
      </c>
      <c r="AF1466" t="s">
        <v>3961</v>
      </c>
      <c r="AG1466" t="s">
        <v>77</v>
      </c>
    </row>
    <row r="1467" spans="1:33" x14ac:dyDescent="0.25">
      <c r="A1467" t="str">
        <f>"1104874205"</f>
        <v>1104874205</v>
      </c>
      <c r="B1467" t="str">
        <f>"01843172"</f>
        <v>01843172</v>
      </c>
      <c r="C1467" t="s">
        <v>8733</v>
      </c>
      <c r="D1467" t="s">
        <v>8734</v>
      </c>
      <c r="E1467" t="s">
        <v>8735</v>
      </c>
      <c r="G1467" t="s">
        <v>5076</v>
      </c>
      <c r="H1467" t="s">
        <v>5077</v>
      </c>
      <c r="J1467" t="s">
        <v>5078</v>
      </c>
      <c r="L1467" t="s">
        <v>79</v>
      </c>
      <c r="M1467" t="s">
        <v>72</v>
      </c>
      <c r="R1467" t="s">
        <v>8735</v>
      </c>
      <c r="W1467" t="s">
        <v>8735</v>
      </c>
      <c r="X1467" t="s">
        <v>8735</v>
      </c>
      <c r="Y1467" t="s">
        <v>455</v>
      </c>
      <c r="Z1467" t="s">
        <v>73</v>
      </c>
      <c r="AA1467" t="str">
        <f>"14026-0010"</f>
        <v>14026-0010</v>
      </c>
      <c r="AB1467" t="s">
        <v>74</v>
      </c>
      <c r="AC1467" t="s">
        <v>75</v>
      </c>
      <c r="AD1467" t="s">
        <v>72</v>
      </c>
      <c r="AE1467" t="s">
        <v>76</v>
      </c>
      <c r="AF1467" t="s">
        <v>3974</v>
      </c>
      <c r="AG1467" t="s">
        <v>77</v>
      </c>
    </row>
    <row r="1468" spans="1:33" x14ac:dyDescent="0.25">
      <c r="A1468" t="str">
        <f>"1316084726"</f>
        <v>1316084726</v>
      </c>
      <c r="B1468" t="str">
        <f>"03350589"</f>
        <v>03350589</v>
      </c>
      <c r="C1468" t="s">
        <v>8736</v>
      </c>
      <c r="D1468" t="s">
        <v>8737</v>
      </c>
      <c r="E1468" t="s">
        <v>8738</v>
      </c>
      <c r="G1468" t="s">
        <v>5931</v>
      </c>
      <c r="H1468" t="s">
        <v>5932</v>
      </c>
      <c r="J1468" t="s">
        <v>5933</v>
      </c>
      <c r="L1468" t="s">
        <v>79</v>
      </c>
      <c r="M1468" t="s">
        <v>72</v>
      </c>
      <c r="R1468" t="s">
        <v>8739</v>
      </c>
      <c r="W1468" t="s">
        <v>8738</v>
      </c>
      <c r="X1468" t="s">
        <v>266</v>
      </c>
      <c r="Y1468" t="s">
        <v>168</v>
      </c>
      <c r="Z1468" t="s">
        <v>73</v>
      </c>
      <c r="AA1468" t="str">
        <f>"14905-2204"</f>
        <v>14905-2204</v>
      </c>
      <c r="AB1468" t="s">
        <v>74</v>
      </c>
      <c r="AC1468" t="s">
        <v>75</v>
      </c>
      <c r="AD1468" t="s">
        <v>72</v>
      </c>
      <c r="AE1468" t="s">
        <v>76</v>
      </c>
      <c r="AF1468" t="s">
        <v>3974</v>
      </c>
      <c r="AG1468" t="s">
        <v>77</v>
      </c>
    </row>
    <row r="1469" spans="1:33" x14ac:dyDescent="0.25">
      <c r="A1469" t="str">
        <f>"1427186410"</f>
        <v>1427186410</v>
      </c>
      <c r="B1469" t="str">
        <f>"03015501"</f>
        <v>03015501</v>
      </c>
      <c r="C1469" t="s">
        <v>8740</v>
      </c>
      <c r="D1469" t="s">
        <v>8741</v>
      </c>
      <c r="E1469" t="s">
        <v>8742</v>
      </c>
      <c r="G1469" t="s">
        <v>5010</v>
      </c>
      <c r="H1469" t="s">
        <v>1119</v>
      </c>
      <c r="J1469" t="s">
        <v>5011</v>
      </c>
      <c r="L1469" t="s">
        <v>79</v>
      </c>
      <c r="M1469" t="s">
        <v>72</v>
      </c>
      <c r="R1469" t="s">
        <v>8743</v>
      </c>
      <c r="W1469" t="s">
        <v>8744</v>
      </c>
      <c r="X1469" t="s">
        <v>385</v>
      </c>
      <c r="Y1469" t="s">
        <v>117</v>
      </c>
      <c r="Z1469" t="s">
        <v>73</v>
      </c>
      <c r="AA1469" t="str">
        <f>"14226-1738"</f>
        <v>14226-1738</v>
      </c>
      <c r="AB1469" t="s">
        <v>74</v>
      </c>
      <c r="AC1469" t="s">
        <v>75</v>
      </c>
      <c r="AD1469" t="s">
        <v>72</v>
      </c>
      <c r="AE1469" t="s">
        <v>76</v>
      </c>
      <c r="AF1469" t="s">
        <v>3974</v>
      </c>
      <c r="AG1469" t="s">
        <v>77</v>
      </c>
    </row>
    <row r="1470" spans="1:33" x14ac:dyDescent="0.25">
      <c r="A1470" t="str">
        <f>"1992856397"</f>
        <v>1992856397</v>
      </c>
      <c r="B1470" t="str">
        <f>"02324532"</f>
        <v>02324532</v>
      </c>
      <c r="C1470" t="s">
        <v>8745</v>
      </c>
      <c r="D1470" t="s">
        <v>3773</v>
      </c>
      <c r="E1470" t="s">
        <v>3774</v>
      </c>
      <c r="G1470" t="s">
        <v>4739</v>
      </c>
      <c r="H1470" t="s">
        <v>2761</v>
      </c>
      <c r="J1470" t="s">
        <v>4740</v>
      </c>
      <c r="L1470" t="s">
        <v>79</v>
      </c>
      <c r="M1470" t="s">
        <v>72</v>
      </c>
      <c r="R1470" t="s">
        <v>3775</v>
      </c>
      <c r="W1470" t="s">
        <v>3774</v>
      </c>
      <c r="X1470" t="s">
        <v>3776</v>
      </c>
      <c r="Y1470" t="s">
        <v>237</v>
      </c>
      <c r="Z1470" t="s">
        <v>73</v>
      </c>
      <c r="AA1470" t="str">
        <f>"14224-3445"</f>
        <v>14224-3445</v>
      </c>
      <c r="AB1470" t="s">
        <v>113</v>
      </c>
      <c r="AC1470" t="s">
        <v>75</v>
      </c>
      <c r="AD1470" t="s">
        <v>72</v>
      </c>
      <c r="AE1470" t="s">
        <v>76</v>
      </c>
      <c r="AF1470" t="s">
        <v>3974</v>
      </c>
      <c r="AG1470" t="s">
        <v>77</v>
      </c>
    </row>
    <row r="1471" spans="1:33" x14ac:dyDescent="0.25">
      <c r="A1471" t="str">
        <f>"1073567954"</f>
        <v>1073567954</v>
      </c>
      <c r="B1471" t="str">
        <f>"01638751"</f>
        <v>01638751</v>
      </c>
      <c r="C1471" t="s">
        <v>8746</v>
      </c>
      <c r="D1471" t="s">
        <v>3272</v>
      </c>
      <c r="E1471" t="s">
        <v>3273</v>
      </c>
      <c r="G1471" t="s">
        <v>3969</v>
      </c>
      <c r="H1471" t="s">
        <v>3970</v>
      </c>
      <c r="J1471" t="s">
        <v>3971</v>
      </c>
      <c r="L1471" t="s">
        <v>79</v>
      </c>
      <c r="M1471" t="s">
        <v>72</v>
      </c>
      <c r="R1471" t="s">
        <v>3274</v>
      </c>
      <c r="W1471" t="s">
        <v>3273</v>
      </c>
      <c r="X1471" t="s">
        <v>1146</v>
      </c>
      <c r="Y1471" t="s">
        <v>436</v>
      </c>
      <c r="Z1471" t="s">
        <v>73</v>
      </c>
      <c r="AA1471" t="str">
        <f>"14217-1304"</f>
        <v>14217-1304</v>
      </c>
      <c r="AB1471" t="s">
        <v>74</v>
      </c>
      <c r="AC1471" t="s">
        <v>75</v>
      </c>
      <c r="AD1471" t="s">
        <v>72</v>
      </c>
      <c r="AE1471" t="s">
        <v>76</v>
      </c>
      <c r="AF1471" t="s">
        <v>3974</v>
      </c>
      <c r="AG1471" t="s">
        <v>77</v>
      </c>
    </row>
    <row r="1472" spans="1:33" x14ac:dyDescent="0.25">
      <c r="A1472" t="str">
        <f>"1497716492"</f>
        <v>1497716492</v>
      </c>
      <c r="B1472" t="str">
        <f>"02519139"</f>
        <v>02519139</v>
      </c>
      <c r="C1472" t="s">
        <v>8747</v>
      </c>
      <c r="D1472" t="s">
        <v>571</v>
      </c>
      <c r="E1472" t="s">
        <v>572</v>
      </c>
      <c r="G1472" t="s">
        <v>7601</v>
      </c>
      <c r="H1472" t="s">
        <v>573</v>
      </c>
      <c r="J1472" t="s">
        <v>6962</v>
      </c>
      <c r="L1472" t="s">
        <v>80</v>
      </c>
      <c r="M1472" t="s">
        <v>72</v>
      </c>
      <c r="R1472" t="s">
        <v>574</v>
      </c>
      <c r="W1472" t="s">
        <v>572</v>
      </c>
      <c r="X1472" t="s">
        <v>456</v>
      </c>
      <c r="Y1472" t="s">
        <v>209</v>
      </c>
      <c r="Z1472" t="s">
        <v>73</v>
      </c>
      <c r="AA1472" t="str">
        <f>"14301-1813"</f>
        <v>14301-1813</v>
      </c>
      <c r="AB1472" t="s">
        <v>74</v>
      </c>
      <c r="AC1472" t="s">
        <v>75</v>
      </c>
      <c r="AD1472" t="s">
        <v>72</v>
      </c>
      <c r="AE1472" t="s">
        <v>76</v>
      </c>
      <c r="AF1472" t="s">
        <v>4431</v>
      </c>
      <c r="AG1472" t="s">
        <v>77</v>
      </c>
    </row>
    <row r="1473" spans="1:33" x14ac:dyDescent="0.25">
      <c r="A1473" t="str">
        <f>"1144256892"</f>
        <v>1144256892</v>
      </c>
      <c r="B1473" t="str">
        <f>"00602497"</f>
        <v>00602497</v>
      </c>
      <c r="C1473" t="s">
        <v>8748</v>
      </c>
      <c r="D1473" t="s">
        <v>8749</v>
      </c>
      <c r="E1473" t="s">
        <v>8750</v>
      </c>
      <c r="G1473" t="s">
        <v>6478</v>
      </c>
      <c r="H1473" t="s">
        <v>1695</v>
      </c>
      <c r="J1473" t="s">
        <v>6479</v>
      </c>
      <c r="L1473" t="s">
        <v>79</v>
      </c>
      <c r="M1473" t="s">
        <v>72</v>
      </c>
      <c r="R1473" t="s">
        <v>8751</v>
      </c>
      <c r="W1473" t="s">
        <v>8750</v>
      </c>
      <c r="X1473" t="s">
        <v>8752</v>
      </c>
      <c r="Y1473" t="s">
        <v>117</v>
      </c>
      <c r="Z1473" t="s">
        <v>73</v>
      </c>
      <c r="AA1473" t="str">
        <f>"14209-1635"</f>
        <v>14209-1635</v>
      </c>
      <c r="AB1473" t="s">
        <v>74</v>
      </c>
      <c r="AC1473" t="s">
        <v>75</v>
      </c>
      <c r="AD1473" t="s">
        <v>72</v>
      </c>
      <c r="AE1473" t="s">
        <v>76</v>
      </c>
      <c r="AF1473" t="s">
        <v>3974</v>
      </c>
      <c r="AG1473" t="s">
        <v>77</v>
      </c>
    </row>
    <row r="1474" spans="1:33" x14ac:dyDescent="0.25">
      <c r="A1474" t="str">
        <f>"1851356810"</f>
        <v>1851356810</v>
      </c>
      <c r="B1474" t="str">
        <f>"02273398"</f>
        <v>02273398</v>
      </c>
      <c r="C1474" t="s">
        <v>8753</v>
      </c>
      <c r="D1474" t="s">
        <v>8754</v>
      </c>
      <c r="E1474" t="s">
        <v>8755</v>
      </c>
      <c r="G1474" t="s">
        <v>8753</v>
      </c>
      <c r="H1474" t="s">
        <v>8756</v>
      </c>
      <c r="J1474" t="s">
        <v>8757</v>
      </c>
      <c r="L1474" t="s">
        <v>71</v>
      </c>
      <c r="M1474" t="s">
        <v>72</v>
      </c>
      <c r="R1474" t="s">
        <v>8758</v>
      </c>
      <c r="W1474" t="s">
        <v>8755</v>
      </c>
      <c r="X1474" t="s">
        <v>2840</v>
      </c>
      <c r="Y1474" t="s">
        <v>326</v>
      </c>
      <c r="Z1474" t="s">
        <v>73</v>
      </c>
      <c r="AA1474" t="str">
        <f>"14127-1577"</f>
        <v>14127-1577</v>
      </c>
      <c r="AB1474" t="s">
        <v>74</v>
      </c>
      <c r="AC1474" t="s">
        <v>75</v>
      </c>
      <c r="AD1474" t="s">
        <v>72</v>
      </c>
      <c r="AE1474" t="s">
        <v>76</v>
      </c>
      <c r="AF1474" t="s">
        <v>3974</v>
      </c>
      <c r="AG1474" t="s">
        <v>77</v>
      </c>
    </row>
    <row r="1475" spans="1:33" x14ac:dyDescent="0.25">
      <c r="A1475" t="str">
        <f>"1902873839"</f>
        <v>1902873839</v>
      </c>
      <c r="B1475" t="str">
        <f>"01048255"</f>
        <v>01048255</v>
      </c>
      <c r="C1475" t="s">
        <v>8759</v>
      </c>
      <c r="D1475" t="s">
        <v>1281</v>
      </c>
      <c r="E1475" t="s">
        <v>1282</v>
      </c>
      <c r="G1475" t="s">
        <v>8760</v>
      </c>
      <c r="H1475" t="s">
        <v>8761</v>
      </c>
      <c r="J1475" t="s">
        <v>8762</v>
      </c>
      <c r="L1475" t="s">
        <v>71</v>
      </c>
      <c r="M1475" t="s">
        <v>72</v>
      </c>
      <c r="R1475" t="s">
        <v>1283</v>
      </c>
      <c r="W1475" t="s">
        <v>1282</v>
      </c>
      <c r="X1475" t="s">
        <v>173</v>
      </c>
      <c r="Y1475" t="s">
        <v>117</v>
      </c>
      <c r="Z1475" t="s">
        <v>73</v>
      </c>
      <c r="AA1475" t="str">
        <f>"14222-2006"</f>
        <v>14222-2006</v>
      </c>
      <c r="AB1475" t="s">
        <v>74</v>
      </c>
      <c r="AC1475" t="s">
        <v>75</v>
      </c>
      <c r="AD1475" t="s">
        <v>72</v>
      </c>
      <c r="AE1475" t="s">
        <v>76</v>
      </c>
      <c r="AF1475" t="s">
        <v>3974</v>
      </c>
      <c r="AG1475" t="s">
        <v>77</v>
      </c>
    </row>
    <row r="1476" spans="1:33" x14ac:dyDescent="0.25">
      <c r="A1476" t="str">
        <f>"1508930363"</f>
        <v>1508930363</v>
      </c>
      <c r="B1476" t="str">
        <f>"03214362"</f>
        <v>03214362</v>
      </c>
      <c r="C1476" t="s">
        <v>8763</v>
      </c>
      <c r="D1476" t="s">
        <v>2516</v>
      </c>
      <c r="E1476" t="s">
        <v>2517</v>
      </c>
      <c r="G1476" t="s">
        <v>8763</v>
      </c>
      <c r="H1476" t="s">
        <v>8031</v>
      </c>
      <c r="J1476" t="s">
        <v>8764</v>
      </c>
      <c r="L1476" t="s">
        <v>79</v>
      </c>
      <c r="M1476" t="s">
        <v>72</v>
      </c>
      <c r="R1476" t="s">
        <v>2518</v>
      </c>
      <c r="W1476" t="s">
        <v>2519</v>
      </c>
      <c r="X1476" t="s">
        <v>295</v>
      </c>
      <c r="Y1476" t="s">
        <v>117</v>
      </c>
      <c r="Z1476" t="s">
        <v>73</v>
      </c>
      <c r="AA1476" t="str">
        <f>"14215-3021"</f>
        <v>14215-3021</v>
      </c>
      <c r="AB1476" t="s">
        <v>74</v>
      </c>
      <c r="AC1476" t="s">
        <v>75</v>
      </c>
      <c r="AD1476" t="s">
        <v>72</v>
      </c>
      <c r="AE1476" t="s">
        <v>76</v>
      </c>
      <c r="AF1476" t="s">
        <v>4043</v>
      </c>
      <c r="AG1476" t="s">
        <v>77</v>
      </c>
    </row>
    <row r="1477" spans="1:33" x14ac:dyDescent="0.25">
      <c r="A1477" t="str">
        <f>"1043232002"</f>
        <v>1043232002</v>
      </c>
      <c r="B1477" t="str">
        <f>"02369840"</f>
        <v>02369840</v>
      </c>
      <c r="C1477" t="s">
        <v>8765</v>
      </c>
      <c r="D1477" t="s">
        <v>8766</v>
      </c>
      <c r="E1477" t="s">
        <v>8767</v>
      </c>
      <c r="G1477" t="s">
        <v>8765</v>
      </c>
      <c r="H1477" t="s">
        <v>2038</v>
      </c>
      <c r="L1477" t="s">
        <v>79</v>
      </c>
      <c r="M1477" t="s">
        <v>72</v>
      </c>
      <c r="R1477" t="s">
        <v>8768</v>
      </c>
      <c r="W1477" t="s">
        <v>8769</v>
      </c>
      <c r="X1477" t="s">
        <v>234</v>
      </c>
      <c r="Y1477" t="s">
        <v>117</v>
      </c>
      <c r="Z1477" t="s">
        <v>73</v>
      </c>
      <c r="AA1477" t="str">
        <f>"14220-2039"</f>
        <v>14220-2039</v>
      </c>
      <c r="AB1477" t="s">
        <v>105</v>
      </c>
      <c r="AC1477" t="s">
        <v>75</v>
      </c>
      <c r="AD1477" t="s">
        <v>72</v>
      </c>
      <c r="AE1477" t="s">
        <v>76</v>
      </c>
      <c r="AF1477" t="s">
        <v>3961</v>
      </c>
      <c r="AG1477" t="s">
        <v>77</v>
      </c>
    </row>
    <row r="1478" spans="1:33" x14ac:dyDescent="0.25">
      <c r="A1478" t="str">
        <f>"1972589083"</f>
        <v>1972589083</v>
      </c>
      <c r="B1478" t="str">
        <f>"01980872"</f>
        <v>01980872</v>
      </c>
      <c r="C1478" t="s">
        <v>8770</v>
      </c>
      <c r="D1478" t="s">
        <v>1030</v>
      </c>
      <c r="E1478" t="s">
        <v>1031</v>
      </c>
      <c r="G1478" t="s">
        <v>4014</v>
      </c>
      <c r="H1478" t="s">
        <v>750</v>
      </c>
      <c r="J1478" t="s">
        <v>4015</v>
      </c>
      <c r="L1478" t="s">
        <v>79</v>
      </c>
      <c r="M1478" t="s">
        <v>72</v>
      </c>
      <c r="R1478" t="s">
        <v>1032</v>
      </c>
      <c r="W1478" t="s">
        <v>1031</v>
      </c>
      <c r="X1478" t="s">
        <v>1033</v>
      </c>
      <c r="Y1478" t="s">
        <v>570</v>
      </c>
      <c r="Z1478" t="s">
        <v>73</v>
      </c>
      <c r="AA1478" t="str">
        <f>"14051-2610"</f>
        <v>14051-2610</v>
      </c>
      <c r="AB1478" t="s">
        <v>74</v>
      </c>
      <c r="AC1478" t="s">
        <v>75</v>
      </c>
      <c r="AD1478" t="s">
        <v>72</v>
      </c>
      <c r="AE1478" t="s">
        <v>76</v>
      </c>
      <c r="AF1478" t="s">
        <v>3974</v>
      </c>
      <c r="AG1478" t="s">
        <v>77</v>
      </c>
    </row>
    <row r="1479" spans="1:33" x14ac:dyDescent="0.25">
      <c r="A1479" t="str">
        <f>"1386917680"</f>
        <v>1386917680</v>
      </c>
      <c r="B1479" t="str">
        <f>"03477410"</f>
        <v>03477410</v>
      </c>
      <c r="C1479" t="s">
        <v>8771</v>
      </c>
      <c r="D1479" t="s">
        <v>8772</v>
      </c>
      <c r="E1479" t="s">
        <v>8773</v>
      </c>
      <c r="G1479" t="s">
        <v>6164</v>
      </c>
      <c r="H1479" t="s">
        <v>6165</v>
      </c>
      <c r="J1479" t="s">
        <v>6166</v>
      </c>
      <c r="L1479" t="s">
        <v>71</v>
      </c>
      <c r="M1479" t="s">
        <v>72</v>
      </c>
      <c r="R1479" t="s">
        <v>8773</v>
      </c>
      <c r="W1479" t="s">
        <v>8773</v>
      </c>
      <c r="X1479" t="s">
        <v>234</v>
      </c>
      <c r="Y1479" t="s">
        <v>117</v>
      </c>
      <c r="Z1479" t="s">
        <v>73</v>
      </c>
      <c r="AA1479" t="str">
        <f>"14220-2039"</f>
        <v>14220-2039</v>
      </c>
      <c r="AB1479" t="s">
        <v>74</v>
      </c>
      <c r="AC1479" t="s">
        <v>75</v>
      </c>
      <c r="AD1479" t="s">
        <v>72</v>
      </c>
      <c r="AE1479" t="s">
        <v>76</v>
      </c>
      <c r="AF1479" t="s">
        <v>3974</v>
      </c>
      <c r="AG1479" t="s">
        <v>77</v>
      </c>
    </row>
    <row r="1480" spans="1:33" x14ac:dyDescent="0.25">
      <c r="A1480" t="str">
        <f>"1558335315"</f>
        <v>1558335315</v>
      </c>
      <c r="B1480" t="str">
        <f>"00654499"</f>
        <v>00654499</v>
      </c>
      <c r="C1480" t="s">
        <v>8774</v>
      </c>
      <c r="D1480" t="s">
        <v>8775</v>
      </c>
      <c r="E1480" t="s">
        <v>8776</v>
      </c>
      <c r="G1480" t="s">
        <v>4883</v>
      </c>
      <c r="H1480" t="s">
        <v>5619</v>
      </c>
      <c r="J1480" t="s">
        <v>5620</v>
      </c>
      <c r="L1480" t="s">
        <v>79</v>
      </c>
      <c r="M1480" t="s">
        <v>72</v>
      </c>
      <c r="R1480" t="s">
        <v>8777</v>
      </c>
      <c r="W1480" t="s">
        <v>8776</v>
      </c>
      <c r="X1480" t="s">
        <v>8778</v>
      </c>
      <c r="Y1480" t="s">
        <v>209</v>
      </c>
      <c r="Z1480" t="s">
        <v>73</v>
      </c>
      <c r="AA1480" t="str">
        <f>"14301-1704"</f>
        <v>14301-1704</v>
      </c>
      <c r="AB1480" t="s">
        <v>74</v>
      </c>
      <c r="AC1480" t="s">
        <v>75</v>
      </c>
      <c r="AD1480" t="s">
        <v>72</v>
      </c>
      <c r="AE1480" t="s">
        <v>76</v>
      </c>
      <c r="AF1480" t="s">
        <v>3974</v>
      </c>
      <c r="AG1480" t="s">
        <v>77</v>
      </c>
    </row>
    <row r="1481" spans="1:33" x14ac:dyDescent="0.25">
      <c r="A1481" t="str">
        <f>"1003874835"</f>
        <v>1003874835</v>
      </c>
      <c r="B1481" t="str">
        <f>"02273256"</f>
        <v>02273256</v>
      </c>
      <c r="C1481" t="s">
        <v>8779</v>
      </c>
      <c r="D1481" t="s">
        <v>8780</v>
      </c>
      <c r="E1481" t="s">
        <v>8781</v>
      </c>
      <c r="G1481" t="s">
        <v>5076</v>
      </c>
      <c r="H1481" t="s">
        <v>5077</v>
      </c>
      <c r="J1481" t="s">
        <v>5078</v>
      </c>
      <c r="L1481" t="s">
        <v>79</v>
      </c>
      <c r="M1481" t="s">
        <v>72</v>
      </c>
      <c r="R1481" t="s">
        <v>8781</v>
      </c>
      <c r="W1481" t="s">
        <v>8782</v>
      </c>
      <c r="X1481" t="s">
        <v>8783</v>
      </c>
      <c r="Y1481" t="s">
        <v>221</v>
      </c>
      <c r="Z1481" t="s">
        <v>73</v>
      </c>
      <c r="AA1481" t="str">
        <f>"14221-3917"</f>
        <v>14221-3917</v>
      </c>
      <c r="AB1481" t="s">
        <v>74</v>
      </c>
      <c r="AC1481" t="s">
        <v>75</v>
      </c>
      <c r="AD1481" t="s">
        <v>72</v>
      </c>
      <c r="AE1481" t="s">
        <v>76</v>
      </c>
      <c r="AF1481" t="s">
        <v>3974</v>
      </c>
      <c r="AG1481" t="s">
        <v>77</v>
      </c>
    </row>
    <row r="1482" spans="1:33" x14ac:dyDescent="0.25">
      <c r="A1482" t="str">
        <f>"1306942644"</f>
        <v>1306942644</v>
      </c>
      <c r="B1482" t="str">
        <f>"03641018"</f>
        <v>03641018</v>
      </c>
      <c r="C1482" t="s">
        <v>8784</v>
      </c>
      <c r="D1482" t="s">
        <v>2388</v>
      </c>
      <c r="E1482" t="s">
        <v>2389</v>
      </c>
      <c r="G1482" t="s">
        <v>5431</v>
      </c>
      <c r="H1482" t="s">
        <v>8785</v>
      </c>
      <c r="J1482" t="s">
        <v>6211</v>
      </c>
      <c r="L1482" t="s">
        <v>80</v>
      </c>
      <c r="M1482" t="s">
        <v>72</v>
      </c>
      <c r="R1482" t="s">
        <v>2390</v>
      </c>
      <c r="W1482" t="s">
        <v>2389</v>
      </c>
      <c r="X1482" t="s">
        <v>2391</v>
      </c>
      <c r="Y1482" t="s">
        <v>221</v>
      </c>
      <c r="Z1482" t="s">
        <v>73</v>
      </c>
      <c r="AA1482" t="str">
        <f>"14221-7889"</f>
        <v>14221-7889</v>
      </c>
      <c r="AB1482" t="s">
        <v>74</v>
      </c>
      <c r="AC1482" t="s">
        <v>75</v>
      </c>
      <c r="AD1482" t="s">
        <v>72</v>
      </c>
      <c r="AE1482" t="s">
        <v>76</v>
      </c>
      <c r="AF1482" t="s">
        <v>3974</v>
      </c>
      <c r="AG1482" t="s">
        <v>77</v>
      </c>
    </row>
    <row r="1483" spans="1:33" x14ac:dyDescent="0.25">
      <c r="A1483" t="str">
        <f>"1134237464"</f>
        <v>1134237464</v>
      </c>
      <c r="B1483" t="str">
        <f>"00687334"</f>
        <v>00687334</v>
      </c>
      <c r="C1483" t="s">
        <v>8786</v>
      </c>
      <c r="D1483" t="s">
        <v>2138</v>
      </c>
      <c r="E1483" t="s">
        <v>2139</v>
      </c>
      <c r="G1483" t="s">
        <v>4017</v>
      </c>
      <c r="H1483" t="s">
        <v>597</v>
      </c>
      <c r="J1483" t="s">
        <v>4018</v>
      </c>
      <c r="L1483" t="s">
        <v>79</v>
      </c>
      <c r="M1483" t="s">
        <v>72</v>
      </c>
      <c r="R1483" t="s">
        <v>2140</v>
      </c>
      <c r="W1483" t="s">
        <v>2139</v>
      </c>
      <c r="X1483" t="s">
        <v>1320</v>
      </c>
      <c r="Y1483" t="s">
        <v>117</v>
      </c>
      <c r="Z1483" t="s">
        <v>73</v>
      </c>
      <c r="AA1483" t="str">
        <f>"14215-1145"</f>
        <v>14215-1145</v>
      </c>
      <c r="AB1483" t="s">
        <v>74</v>
      </c>
      <c r="AC1483" t="s">
        <v>75</v>
      </c>
      <c r="AD1483" t="s">
        <v>72</v>
      </c>
      <c r="AE1483" t="s">
        <v>76</v>
      </c>
      <c r="AF1483" t="s">
        <v>3974</v>
      </c>
      <c r="AG1483" t="s">
        <v>77</v>
      </c>
    </row>
    <row r="1484" spans="1:33" x14ac:dyDescent="0.25">
      <c r="A1484" t="str">
        <f>"1477748689"</f>
        <v>1477748689</v>
      </c>
      <c r="B1484" t="str">
        <f>"03587006"</f>
        <v>03587006</v>
      </c>
      <c r="C1484" t="s">
        <v>8787</v>
      </c>
      <c r="D1484" t="s">
        <v>8788</v>
      </c>
      <c r="E1484" t="s">
        <v>8789</v>
      </c>
      <c r="G1484" t="s">
        <v>4762</v>
      </c>
      <c r="H1484" t="s">
        <v>4763</v>
      </c>
      <c r="J1484" t="s">
        <v>4764</v>
      </c>
      <c r="L1484" t="s">
        <v>79</v>
      </c>
      <c r="M1484" t="s">
        <v>72</v>
      </c>
      <c r="R1484" t="s">
        <v>8790</v>
      </c>
      <c r="W1484" t="s">
        <v>8789</v>
      </c>
      <c r="X1484" t="s">
        <v>1161</v>
      </c>
      <c r="Y1484" t="s">
        <v>1079</v>
      </c>
      <c r="Z1484" t="s">
        <v>73</v>
      </c>
      <c r="AA1484" t="str">
        <f>"14075-5835"</f>
        <v>14075-5835</v>
      </c>
      <c r="AB1484" t="s">
        <v>74</v>
      </c>
      <c r="AC1484" t="s">
        <v>75</v>
      </c>
      <c r="AD1484" t="s">
        <v>72</v>
      </c>
      <c r="AE1484" t="s">
        <v>76</v>
      </c>
      <c r="AF1484" t="s">
        <v>3974</v>
      </c>
      <c r="AG1484" t="s">
        <v>77</v>
      </c>
    </row>
    <row r="1485" spans="1:33" x14ac:dyDescent="0.25">
      <c r="A1485" t="str">
        <f>"1104939768"</f>
        <v>1104939768</v>
      </c>
      <c r="B1485" t="str">
        <f>"01250357"</f>
        <v>01250357</v>
      </c>
      <c r="C1485" t="s">
        <v>8791</v>
      </c>
      <c r="D1485" t="s">
        <v>8792</v>
      </c>
      <c r="E1485" t="s">
        <v>8793</v>
      </c>
      <c r="G1485" t="s">
        <v>8794</v>
      </c>
      <c r="H1485" t="s">
        <v>8795</v>
      </c>
      <c r="J1485" t="s">
        <v>8796</v>
      </c>
      <c r="L1485" t="s">
        <v>79</v>
      </c>
      <c r="M1485" t="s">
        <v>72</v>
      </c>
      <c r="R1485" t="s">
        <v>8797</v>
      </c>
      <c r="W1485" t="s">
        <v>8793</v>
      </c>
      <c r="X1485" t="s">
        <v>243</v>
      </c>
      <c r="Y1485" t="s">
        <v>117</v>
      </c>
      <c r="Z1485" t="s">
        <v>73</v>
      </c>
      <c r="AA1485" t="str">
        <f>"14203-1126"</f>
        <v>14203-1126</v>
      </c>
      <c r="AB1485" t="s">
        <v>74</v>
      </c>
      <c r="AC1485" t="s">
        <v>75</v>
      </c>
      <c r="AD1485" t="s">
        <v>72</v>
      </c>
      <c r="AE1485" t="s">
        <v>76</v>
      </c>
      <c r="AF1485" t="s">
        <v>3974</v>
      </c>
      <c r="AG1485" t="s">
        <v>77</v>
      </c>
    </row>
    <row r="1486" spans="1:33" x14ac:dyDescent="0.25">
      <c r="A1486" t="str">
        <f>"1912090184"</f>
        <v>1912090184</v>
      </c>
      <c r="C1486" t="s">
        <v>8798</v>
      </c>
      <c r="G1486" t="s">
        <v>3829</v>
      </c>
      <c r="H1486" t="s">
        <v>6844</v>
      </c>
      <c r="J1486" t="s">
        <v>3830</v>
      </c>
      <c r="K1486" t="s">
        <v>89</v>
      </c>
      <c r="L1486" t="s">
        <v>92</v>
      </c>
      <c r="M1486" t="s">
        <v>72</v>
      </c>
      <c r="R1486" t="s">
        <v>3203</v>
      </c>
      <c r="S1486" t="s">
        <v>1970</v>
      </c>
      <c r="T1486" t="s">
        <v>1971</v>
      </c>
      <c r="U1486" t="s">
        <v>73</v>
      </c>
      <c r="V1486" t="str">
        <f>"14742"</f>
        <v>14742</v>
      </c>
      <c r="AC1486" t="s">
        <v>75</v>
      </c>
      <c r="AD1486" t="s">
        <v>72</v>
      </c>
      <c r="AE1486" t="s">
        <v>93</v>
      </c>
      <c r="AF1486" t="s">
        <v>4078</v>
      </c>
      <c r="AG1486" t="s">
        <v>77</v>
      </c>
    </row>
    <row r="1487" spans="1:33" x14ac:dyDescent="0.25">
      <c r="A1487" t="str">
        <f>"1932105053"</f>
        <v>1932105053</v>
      </c>
      <c r="C1487" t="s">
        <v>8799</v>
      </c>
      <c r="G1487" t="s">
        <v>3829</v>
      </c>
      <c r="H1487" t="s">
        <v>6844</v>
      </c>
      <c r="J1487" t="s">
        <v>3830</v>
      </c>
      <c r="K1487" t="s">
        <v>89</v>
      </c>
      <c r="L1487" t="s">
        <v>92</v>
      </c>
      <c r="M1487" t="s">
        <v>72</v>
      </c>
      <c r="R1487" t="s">
        <v>3831</v>
      </c>
      <c r="S1487" t="s">
        <v>3540</v>
      </c>
      <c r="T1487" t="s">
        <v>979</v>
      </c>
      <c r="U1487" t="s">
        <v>73</v>
      </c>
      <c r="V1487" t="str">
        <f>"147409562"</f>
        <v>147409562</v>
      </c>
      <c r="AC1487" t="s">
        <v>75</v>
      </c>
      <c r="AD1487" t="s">
        <v>72</v>
      </c>
      <c r="AE1487" t="s">
        <v>93</v>
      </c>
      <c r="AF1487" t="s">
        <v>4078</v>
      </c>
      <c r="AG1487" t="s">
        <v>77</v>
      </c>
    </row>
    <row r="1488" spans="1:33" x14ac:dyDescent="0.25">
      <c r="A1488" t="str">
        <f>"1073868519"</f>
        <v>1073868519</v>
      </c>
      <c r="B1488" t="str">
        <f>"03495934"</f>
        <v>03495934</v>
      </c>
      <c r="C1488" t="s">
        <v>8800</v>
      </c>
      <c r="D1488" t="s">
        <v>8801</v>
      </c>
      <c r="E1488" t="s">
        <v>8802</v>
      </c>
      <c r="G1488" t="s">
        <v>3829</v>
      </c>
      <c r="H1488" t="s">
        <v>6844</v>
      </c>
      <c r="J1488" t="s">
        <v>3830</v>
      </c>
      <c r="L1488" t="s">
        <v>79</v>
      </c>
      <c r="M1488" t="s">
        <v>72</v>
      </c>
      <c r="R1488" t="s">
        <v>8803</v>
      </c>
      <c r="W1488" t="s">
        <v>8802</v>
      </c>
      <c r="X1488" t="s">
        <v>8804</v>
      </c>
      <c r="Y1488" t="s">
        <v>87</v>
      </c>
      <c r="Z1488" t="s">
        <v>73</v>
      </c>
      <c r="AA1488" t="str">
        <f>"10119-0206"</f>
        <v>10119-0206</v>
      </c>
      <c r="AB1488" t="s">
        <v>74</v>
      </c>
      <c r="AC1488" t="s">
        <v>75</v>
      </c>
      <c r="AD1488" t="s">
        <v>72</v>
      </c>
      <c r="AE1488" t="s">
        <v>76</v>
      </c>
      <c r="AG1488" t="s">
        <v>77</v>
      </c>
    </row>
    <row r="1489" spans="1:33" x14ac:dyDescent="0.25">
      <c r="A1489" t="str">
        <f>"1922082197"</f>
        <v>1922082197</v>
      </c>
      <c r="B1489" t="str">
        <f>"00902103"</f>
        <v>00902103</v>
      </c>
      <c r="C1489" t="s">
        <v>3947</v>
      </c>
      <c r="D1489" t="s">
        <v>8805</v>
      </c>
      <c r="E1489" t="s">
        <v>8806</v>
      </c>
      <c r="G1489" t="s">
        <v>3829</v>
      </c>
      <c r="H1489" t="s">
        <v>6844</v>
      </c>
      <c r="J1489" t="s">
        <v>3830</v>
      </c>
      <c r="L1489" t="s">
        <v>84</v>
      </c>
      <c r="M1489" t="s">
        <v>72</v>
      </c>
      <c r="R1489" t="s">
        <v>3948</v>
      </c>
      <c r="W1489" t="s">
        <v>8807</v>
      </c>
      <c r="X1489" t="s">
        <v>286</v>
      </c>
      <c r="Y1489" t="s">
        <v>242</v>
      </c>
      <c r="Z1489" t="s">
        <v>73</v>
      </c>
      <c r="AA1489" t="str">
        <f>"14701-7077"</f>
        <v>14701-7077</v>
      </c>
      <c r="AB1489" t="s">
        <v>74</v>
      </c>
      <c r="AC1489" t="s">
        <v>75</v>
      </c>
      <c r="AD1489" t="s">
        <v>72</v>
      </c>
      <c r="AE1489" t="s">
        <v>76</v>
      </c>
      <c r="AF1489" t="s">
        <v>7887</v>
      </c>
      <c r="AG1489" t="s">
        <v>77</v>
      </c>
    </row>
    <row r="1490" spans="1:33" x14ac:dyDescent="0.25">
      <c r="A1490" t="str">
        <f>"1710062112"</f>
        <v>1710062112</v>
      </c>
      <c r="B1490" t="str">
        <f>"03292317"</f>
        <v>03292317</v>
      </c>
      <c r="C1490" t="s">
        <v>8808</v>
      </c>
      <c r="D1490" t="s">
        <v>3537</v>
      </c>
      <c r="E1490" t="s">
        <v>3538</v>
      </c>
      <c r="G1490" t="s">
        <v>3829</v>
      </c>
      <c r="H1490" t="s">
        <v>6844</v>
      </c>
      <c r="J1490" t="s">
        <v>3830</v>
      </c>
      <c r="L1490" t="s">
        <v>16</v>
      </c>
      <c r="M1490" t="s">
        <v>72</v>
      </c>
      <c r="R1490" t="s">
        <v>3539</v>
      </c>
      <c r="W1490" t="s">
        <v>3538</v>
      </c>
      <c r="X1490" t="s">
        <v>3540</v>
      </c>
      <c r="Y1490" t="s">
        <v>979</v>
      </c>
      <c r="Z1490" t="s">
        <v>73</v>
      </c>
      <c r="AA1490" t="str">
        <f>"14740-9562"</f>
        <v>14740-9562</v>
      </c>
      <c r="AB1490" t="s">
        <v>115</v>
      </c>
      <c r="AC1490" t="s">
        <v>75</v>
      </c>
      <c r="AD1490" t="s">
        <v>72</v>
      </c>
      <c r="AE1490" t="s">
        <v>76</v>
      </c>
      <c r="AG1490" t="s">
        <v>77</v>
      </c>
    </row>
    <row r="1491" spans="1:33" x14ac:dyDescent="0.25">
      <c r="A1491" t="str">
        <f>"1164722054"</f>
        <v>1164722054</v>
      </c>
      <c r="B1491" t="str">
        <f>"03295952"</f>
        <v>03295952</v>
      </c>
      <c r="C1491" t="s">
        <v>8809</v>
      </c>
      <c r="D1491" t="s">
        <v>8810</v>
      </c>
      <c r="E1491" t="s">
        <v>8811</v>
      </c>
      <c r="G1491" t="s">
        <v>8812</v>
      </c>
      <c r="H1491" t="s">
        <v>8813</v>
      </c>
      <c r="J1491" t="s">
        <v>8814</v>
      </c>
      <c r="L1491" t="s">
        <v>35</v>
      </c>
      <c r="M1491" t="s">
        <v>72</v>
      </c>
      <c r="R1491" t="s">
        <v>8815</v>
      </c>
      <c r="W1491" t="s">
        <v>8811</v>
      </c>
      <c r="X1491" t="s">
        <v>8816</v>
      </c>
      <c r="Y1491" t="s">
        <v>237</v>
      </c>
      <c r="Z1491" t="s">
        <v>73</v>
      </c>
      <c r="AA1491" t="str">
        <f>"14224-2656"</f>
        <v>14224-2656</v>
      </c>
      <c r="AB1491" t="s">
        <v>112</v>
      </c>
      <c r="AC1491" t="s">
        <v>75</v>
      </c>
      <c r="AD1491" t="s">
        <v>72</v>
      </c>
      <c r="AE1491" t="s">
        <v>76</v>
      </c>
      <c r="AF1491" t="s">
        <v>3974</v>
      </c>
      <c r="AG1491" t="s">
        <v>77</v>
      </c>
    </row>
    <row r="1492" spans="1:33" x14ac:dyDescent="0.25">
      <c r="A1492" t="str">
        <f>"1083607055"</f>
        <v>1083607055</v>
      </c>
      <c r="B1492" t="str">
        <f>"02317664"</f>
        <v>02317664</v>
      </c>
      <c r="C1492" t="s">
        <v>8817</v>
      </c>
      <c r="D1492" t="s">
        <v>2354</v>
      </c>
      <c r="E1492" t="s">
        <v>2355</v>
      </c>
      <c r="G1492" t="s">
        <v>5624</v>
      </c>
      <c r="H1492" t="s">
        <v>841</v>
      </c>
      <c r="J1492" t="s">
        <v>5625</v>
      </c>
      <c r="L1492" t="s">
        <v>71</v>
      </c>
      <c r="M1492" t="s">
        <v>81</v>
      </c>
      <c r="R1492" t="s">
        <v>2356</v>
      </c>
      <c r="W1492" t="s">
        <v>2355</v>
      </c>
      <c r="X1492" t="s">
        <v>2357</v>
      </c>
      <c r="Y1492" t="s">
        <v>117</v>
      </c>
      <c r="Z1492" t="s">
        <v>73</v>
      </c>
      <c r="AA1492" t="str">
        <f>"14214-2692"</f>
        <v>14214-2692</v>
      </c>
      <c r="AB1492" t="s">
        <v>74</v>
      </c>
      <c r="AC1492" t="s">
        <v>75</v>
      </c>
      <c r="AD1492" t="s">
        <v>72</v>
      </c>
      <c r="AE1492" t="s">
        <v>76</v>
      </c>
      <c r="AF1492" t="s">
        <v>3961</v>
      </c>
      <c r="AG1492" t="s">
        <v>77</v>
      </c>
    </row>
    <row r="1493" spans="1:33" x14ac:dyDescent="0.25">
      <c r="A1493" t="str">
        <f>"1528081734"</f>
        <v>1528081734</v>
      </c>
      <c r="B1493" t="str">
        <f>"02824784"</f>
        <v>02824784</v>
      </c>
      <c r="C1493" t="s">
        <v>8818</v>
      </c>
      <c r="D1493" t="s">
        <v>526</v>
      </c>
      <c r="E1493" t="s">
        <v>527</v>
      </c>
      <c r="F1493">
        <v>161115992</v>
      </c>
      <c r="G1493" t="s">
        <v>528</v>
      </c>
      <c r="H1493" t="s">
        <v>529</v>
      </c>
      <c r="J1493" t="s">
        <v>530</v>
      </c>
      <c r="L1493" t="s">
        <v>35</v>
      </c>
      <c r="M1493" t="s">
        <v>81</v>
      </c>
      <c r="R1493" t="s">
        <v>531</v>
      </c>
      <c r="W1493" t="s">
        <v>527</v>
      </c>
      <c r="X1493" t="s">
        <v>532</v>
      </c>
      <c r="Y1493" t="s">
        <v>533</v>
      </c>
      <c r="Z1493" t="s">
        <v>73</v>
      </c>
      <c r="AA1493" t="str">
        <f>"14059-9530"</f>
        <v>14059-9530</v>
      </c>
      <c r="AB1493" t="s">
        <v>109</v>
      </c>
      <c r="AC1493" t="s">
        <v>75</v>
      </c>
      <c r="AD1493" t="s">
        <v>72</v>
      </c>
      <c r="AE1493" t="s">
        <v>76</v>
      </c>
      <c r="AF1493" t="s">
        <v>4059</v>
      </c>
      <c r="AG1493" t="s">
        <v>77</v>
      </c>
    </row>
    <row r="1494" spans="1:33" x14ac:dyDescent="0.25">
      <c r="A1494" t="str">
        <f>"1720168198"</f>
        <v>1720168198</v>
      </c>
      <c r="B1494" t="str">
        <f>"01630735"</f>
        <v>01630735</v>
      </c>
      <c r="C1494" t="s">
        <v>8819</v>
      </c>
      <c r="D1494" t="s">
        <v>1141</v>
      </c>
      <c r="E1494" t="s">
        <v>1142</v>
      </c>
      <c r="G1494" t="s">
        <v>8820</v>
      </c>
      <c r="H1494" t="s">
        <v>1143</v>
      </c>
      <c r="J1494" t="s">
        <v>8821</v>
      </c>
      <c r="L1494" t="s">
        <v>79</v>
      </c>
      <c r="M1494" t="s">
        <v>72</v>
      </c>
      <c r="R1494" t="s">
        <v>1144</v>
      </c>
      <c r="W1494" t="s">
        <v>1142</v>
      </c>
      <c r="X1494" t="s">
        <v>1145</v>
      </c>
      <c r="Y1494" t="s">
        <v>117</v>
      </c>
      <c r="Z1494" t="s">
        <v>73</v>
      </c>
      <c r="AA1494" t="str">
        <f>"14203-1126"</f>
        <v>14203-1126</v>
      </c>
      <c r="AB1494" t="s">
        <v>74</v>
      </c>
      <c r="AC1494" t="s">
        <v>75</v>
      </c>
      <c r="AD1494" t="s">
        <v>72</v>
      </c>
      <c r="AE1494" t="s">
        <v>76</v>
      </c>
      <c r="AF1494" t="s">
        <v>3974</v>
      </c>
      <c r="AG1494" t="s">
        <v>77</v>
      </c>
    </row>
    <row r="1495" spans="1:33" x14ac:dyDescent="0.25">
      <c r="A1495" t="str">
        <f>"1013176692"</f>
        <v>1013176692</v>
      </c>
      <c r="B1495" t="str">
        <f>"01994834"</f>
        <v>01994834</v>
      </c>
      <c r="C1495" t="s">
        <v>8822</v>
      </c>
      <c r="D1495" t="s">
        <v>1886</v>
      </c>
      <c r="E1495" t="s">
        <v>1887</v>
      </c>
      <c r="G1495" t="s">
        <v>8823</v>
      </c>
      <c r="H1495" t="s">
        <v>8824</v>
      </c>
      <c r="J1495" t="s">
        <v>8825</v>
      </c>
      <c r="L1495" t="s">
        <v>79</v>
      </c>
      <c r="M1495" t="s">
        <v>72</v>
      </c>
      <c r="R1495" t="s">
        <v>1888</v>
      </c>
      <c r="W1495" t="s">
        <v>1887</v>
      </c>
      <c r="X1495" t="s">
        <v>1889</v>
      </c>
      <c r="Y1495" t="s">
        <v>117</v>
      </c>
      <c r="Z1495" t="s">
        <v>73</v>
      </c>
      <c r="AA1495" t="str">
        <f>"14223-1432"</f>
        <v>14223-1432</v>
      </c>
      <c r="AB1495" t="s">
        <v>74</v>
      </c>
      <c r="AC1495" t="s">
        <v>75</v>
      </c>
      <c r="AD1495" t="s">
        <v>72</v>
      </c>
      <c r="AE1495" t="s">
        <v>76</v>
      </c>
      <c r="AF1495" t="s">
        <v>3974</v>
      </c>
      <c r="AG1495" t="s">
        <v>77</v>
      </c>
    </row>
    <row r="1496" spans="1:33" x14ac:dyDescent="0.25">
      <c r="A1496" t="str">
        <f>"1417393927"</f>
        <v>1417393927</v>
      </c>
      <c r="B1496" t="str">
        <f>"03706407"</f>
        <v>03706407</v>
      </c>
      <c r="C1496" t="s">
        <v>8826</v>
      </c>
      <c r="D1496" t="s">
        <v>8827</v>
      </c>
      <c r="E1496" t="s">
        <v>8828</v>
      </c>
      <c r="G1496" t="s">
        <v>5351</v>
      </c>
      <c r="H1496" t="s">
        <v>5352</v>
      </c>
      <c r="J1496" t="s">
        <v>5353</v>
      </c>
      <c r="L1496" t="s">
        <v>79</v>
      </c>
      <c r="M1496" t="s">
        <v>72</v>
      </c>
      <c r="R1496" t="s">
        <v>8829</v>
      </c>
      <c r="W1496" t="s">
        <v>8828</v>
      </c>
      <c r="X1496" t="s">
        <v>4801</v>
      </c>
      <c r="Y1496" t="s">
        <v>242</v>
      </c>
      <c r="Z1496" t="s">
        <v>73</v>
      </c>
      <c r="AA1496" t="str">
        <f>"14701-7087"</f>
        <v>14701-7087</v>
      </c>
      <c r="AB1496" t="s">
        <v>74</v>
      </c>
      <c r="AC1496" t="s">
        <v>75</v>
      </c>
      <c r="AD1496" t="s">
        <v>72</v>
      </c>
      <c r="AE1496" t="s">
        <v>76</v>
      </c>
      <c r="AF1496" t="s">
        <v>4049</v>
      </c>
      <c r="AG1496" t="s">
        <v>77</v>
      </c>
    </row>
    <row r="1497" spans="1:33" x14ac:dyDescent="0.25">
      <c r="A1497" t="str">
        <f>"1598752438"</f>
        <v>1598752438</v>
      </c>
      <c r="B1497" t="str">
        <f>"01083912"</f>
        <v>01083912</v>
      </c>
      <c r="C1497" t="s">
        <v>8830</v>
      </c>
      <c r="D1497" t="s">
        <v>8831</v>
      </c>
      <c r="E1497" t="s">
        <v>8832</v>
      </c>
      <c r="G1497" t="s">
        <v>7005</v>
      </c>
      <c r="H1497" t="s">
        <v>2771</v>
      </c>
      <c r="J1497" t="s">
        <v>7006</v>
      </c>
      <c r="L1497" t="s">
        <v>80</v>
      </c>
      <c r="M1497" t="s">
        <v>72</v>
      </c>
      <c r="R1497" t="s">
        <v>8833</v>
      </c>
      <c r="W1497" t="s">
        <v>8833</v>
      </c>
      <c r="Y1497" t="s">
        <v>117</v>
      </c>
      <c r="Z1497" t="s">
        <v>73</v>
      </c>
      <c r="AA1497" t="str">
        <f>"14222-2099"</f>
        <v>14222-2099</v>
      </c>
      <c r="AB1497" t="s">
        <v>74</v>
      </c>
      <c r="AC1497" t="s">
        <v>75</v>
      </c>
      <c r="AD1497" t="s">
        <v>72</v>
      </c>
      <c r="AE1497" t="s">
        <v>76</v>
      </c>
      <c r="AF1497" t="s">
        <v>3961</v>
      </c>
      <c r="AG1497" t="s">
        <v>77</v>
      </c>
    </row>
    <row r="1498" spans="1:33" x14ac:dyDescent="0.25">
      <c r="A1498" t="str">
        <f>"1265502546"</f>
        <v>1265502546</v>
      </c>
      <c r="B1498" t="str">
        <f>"01872999"</f>
        <v>01872999</v>
      </c>
      <c r="C1498" t="s">
        <v>8834</v>
      </c>
      <c r="D1498" t="s">
        <v>3777</v>
      </c>
      <c r="E1498" t="s">
        <v>3778</v>
      </c>
      <c r="G1498" t="s">
        <v>5151</v>
      </c>
      <c r="H1498" t="s">
        <v>647</v>
      </c>
      <c r="J1498" t="s">
        <v>5152</v>
      </c>
      <c r="L1498" t="s">
        <v>79</v>
      </c>
      <c r="M1498" t="s">
        <v>72</v>
      </c>
      <c r="R1498" t="s">
        <v>3779</v>
      </c>
      <c r="W1498" t="s">
        <v>3778</v>
      </c>
      <c r="X1498" t="s">
        <v>649</v>
      </c>
      <c r="Y1498" t="s">
        <v>237</v>
      </c>
      <c r="Z1498" t="s">
        <v>73</v>
      </c>
      <c r="AA1498" t="str">
        <f>"14224-4658"</f>
        <v>14224-4658</v>
      </c>
      <c r="AB1498" t="s">
        <v>74</v>
      </c>
      <c r="AC1498" t="s">
        <v>75</v>
      </c>
      <c r="AD1498" t="s">
        <v>72</v>
      </c>
      <c r="AE1498" t="s">
        <v>76</v>
      </c>
      <c r="AF1498" t="s">
        <v>3961</v>
      </c>
      <c r="AG1498" t="s">
        <v>77</v>
      </c>
    </row>
    <row r="1499" spans="1:33" x14ac:dyDescent="0.25">
      <c r="A1499" t="str">
        <f>"1750473419"</f>
        <v>1750473419</v>
      </c>
      <c r="B1499" t="str">
        <f>"02937988"</f>
        <v>02937988</v>
      </c>
      <c r="C1499" t="s">
        <v>8835</v>
      </c>
      <c r="D1499" t="s">
        <v>1639</v>
      </c>
      <c r="E1499" t="s">
        <v>1640</v>
      </c>
      <c r="G1499" t="s">
        <v>4047</v>
      </c>
      <c r="H1499" t="s">
        <v>634</v>
      </c>
      <c r="J1499" t="s">
        <v>4048</v>
      </c>
      <c r="L1499" t="s">
        <v>80</v>
      </c>
      <c r="M1499" t="s">
        <v>72</v>
      </c>
      <c r="R1499" t="s">
        <v>1640</v>
      </c>
      <c r="W1499" t="s">
        <v>1641</v>
      </c>
      <c r="X1499" t="s">
        <v>205</v>
      </c>
      <c r="Y1499" t="s">
        <v>206</v>
      </c>
      <c r="Z1499" t="s">
        <v>73</v>
      </c>
      <c r="AA1499" t="str">
        <f>"14048-2538"</f>
        <v>14048-2538</v>
      </c>
      <c r="AB1499" t="s">
        <v>74</v>
      </c>
      <c r="AC1499" t="s">
        <v>75</v>
      </c>
      <c r="AD1499" t="s">
        <v>72</v>
      </c>
      <c r="AE1499" t="s">
        <v>76</v>
      </c>
      <c r="AF1499" t="s">
        <v>4049</v>
      </c>
      <c r="AG1499" t="s">
        <v>77</v>
      </c>
    </row>
    <row r="1500" spans="1:33" x14ac:dyDescent="0.25">
      <c r="A1500" t="str">
        <f>"1033147400"</f>
        <v>1033147400</v>
      </c>
      <c r="B1500" t="str">
        <f>"02490119"</f>
        <v>02490119</v>
      </c>
      <c r="C1500" t="s">
        <v>8836</v>
      </c>
      <c r="D1500" t="s">
        <v>2964</v>
      </c>
      <c r="E1500" t="s">
        <v>2965</v>
      </c>
      <c r="G1500" t="s">
        <v>8837</v>
      </c>
      <c r="H1500" t="s">
        <v>8838</v>
      </c>
      <c r="J1500" t="s">
        <v>8839</v>
      </c>
      <c r="L1500" t="s">
        <v>79</v>
      </c>
      <c r="M1500" t="s">
        <v>72</v>
      </c>
      <c r="R1500" t="s">
        <v>2966</v>
      </c>
      <c r="W1500" t="s">
        <v>2967</v>
      </c>
      <c r="X1500" t="s">
        <v>258</v>
      </c>
      <c r="Y1500" t="s">
        <v>240</v>
      </c>
      <c r="Z1500" t="s">
        <v>73</v>
      </c>
      <c r="AA1500" t="str">
        <f>"14094-3201"</f>
        <v>14094-3201</v>
      </c>
      <c r="AB1500" t="s">
        <v>74</v>
      </c>
      <c r="AC1500" t="s">
        <v>75</v>
      </c>
      <c r="AD1500" t="s">
        <v>72</v>
      </c>
      <c r="AE1500" t="s">
        <v>76</v>
      </c>
      <c r="AF1500" t="s">
        <v>3974</v>
      </c>
      <c r="AG1500" t="s">
        <v>77</v>
      </c>
    </row>
    <row r="1501" spans="1:33" x14ac:dyDescent="0.25">
      <c r="A1501" t="str">
        <f>"1518019348"</f>
        <v>1518019348</v>
      </c>
      <c r="B1501" t="str">
        <f>"03002297"</f>
        <v>03002297</v>
      </c>
      <c r="C1501" t="s">
        <v>5964</v>
      </c>
      <c r="D1501" t="s">
        <v>898</v>
      </c>
      <c r="E1501" t="s">
        <v>899</v>
      </c>
      <c r="G1501" t="s">
        <v>5965</v>
      </c>
      <c r="H1501" t="s">
        <v>658</v>
      </c>
      <c r="J1501" t="s">
        <v>5966</v>
      </c>
      <c r="L1501" t="s">
        <v>95</v>
      </c>
      <c r="M1501" t="s">
        <v>81</v>
      </c>
      <c r="R1501" t="s">
        <v>897</v>
      </c>
      <c r="W1501" t="s">
        <v>899</v>
      </c>
      <c r="X1501" t="s">
        <v>900</v>
      </c>
      <c r="Y1501" t="s">
        <v>117</v>
      </c>
      <c r="Z1501" t="s">
        <v>73</v>
      </c>
      <c r="AA1501" t="str">
        <f>"14214-1316"</f>
        <v>14214-1316</v>
      </c>
      <c r="AB1501" t="s">
        <v>109</v>
      </c>
      <c r="AC1501" t="s">
        <v>75</v>
      </c>
      <c r="AD1501" t="s">
        <v>72</v>
      </c>
      <c r="AE1501" t="s">
        <v>76</v>
      </c>
      <c r="AF1501" t="s">
        <v>4059</v>
      </c>
      <c r="AG1501" t="s">
        <v>77</v>
      </c>
    </row>
    <row r="1502" spans="1:33" x14ac:dyDescent="0.25">
      <c r="A1502" t="str">
        <f>"1578615308"</f>
        <v>1578615308</v>
      </c>
      <c r="B1502" t="str">
        <f>"03002302"</f>
        <v>03002302</v>
      </c>
      <c r="C1502" t="s">
        <v>5964</v>
      </c>
      <c r="D1502" t="s">
        <v>898</v>
      </c>
      <c r="E1502" t="s">
        <v>899</v>
      </c>
      <c r="G1502" t="s">
        <v>5965</v>
      </c>
      <c r="H1502" t="s">
        <v>658</v>
      </c>
      <c r="J1502" t="s">
        <v>5966</v>
      </c>
      <c r="L1502" t="s">
        <v>95</v>
      </c>
      <c r="M1502" t="s">
        <v>81</v>
      </c>
      <c r="R1502" t="s">
        <v>897</v>
      </c>
      <c r="W1502" t="s">
        <v>899</v>
      </c>
      <c r="X1502" t="s">
        <v>900</v>
      </c>
      <c r="Y1502" t="s">
        <v>117</v>
      </c>
      <c r="Z1502" t="s">
        <v>73</v>
      </c>
      <c r="AA1502" t="str">
        <f>"14214-1316"</f>
        <v>14214-1316</v>
      </c>
      <c r="AB1502" t="s">
        <v>109</v>
      </c>
      <c r="AC1502" t="s">
        <v>75</v>
      </c>
      <c r="AD1502" t="s">
        <v>72</v>
      </c>
      <c r="AE1502" t="s">
        <v>76</v>
      </c>
      <c r="AF1502" t="s">
        <v>4059</v>
      </c>
      <c r="AG1502" t="s">
        <v>77</v>
      </c>
    </row>
    <row r="1503" spans="1:33" x14ac:dyDescent="0.25">
      <c r="A1503" t="str">
        <f>"1669524492"</f>
        <v>1669524492</v>
      </c>
      <c r="B1503" t="str">
        <f>"03002311"</f>
        <v>03002311</v>
      </c>
      <c r="C1503" t="s">
        <v>5964</v>
      </c>
      <c r="D1503" t="s">
        <v>898</v>
      </c>
      <c r="E1503" t="s">
        <v>899</v>
      </c>
      <c r="G1503" t="s">
        <v>5965</v>
      </c>
      <c r="H1503" t="s">
        <v>658</v>
      </c>
      <c r="J1503" t="s">
        <v>5966</v>
      </c>
      <c r="L1503" t="s">
        <v>95</v>
      </c>
      <c r="M1503" t="s">
        <v>81</v>
      </c>
      <c r="R1503" t="s">
        <v>1503</v>
      </c>
      <c r="W1503" t="s">
        <v>899</v>
      </c>
      <c r="X1503" t="s">
        <v>900</v>
      </c>
      <c r="Y1503" t="s">
        <v>117</v>
      </c>
      <c r="Z1503" t="s">
        <v>73</v>
      </c>
      <c r="AA1503" t="str">
        <f>"14214-1316"</f>
        <v>14214-1316</v>
      </c>
      <c r="AB1503" t="s">
        <v>109</v>
      </c>
      <c r="AC1503" t="s">
        <v>75</v>
      </c>
      <c r="AD1503" t="s">
        <v>72</v>
      </c>
      <c r="AE1503" t="s">
        <v>76</v>
      </c>
      <c r="AF1503" t="s">
        <v>4059</v>
      </c>
      <c r="AG1503" t="s">
        <v>77</v>
      </c>
    </row>
    <row r="1504" spans="1:33" x14ac:dyDescent="0.25">
      <c r="C1504" t="s">
        <v>8840</v>
      </c>
      <c r="G1504" t="s">
        <v>8841</v>
      </c>
      <c r="H1504" t="s">
        <v>1426</v>
      </c>
      <c r="J1504" t="s">
        <v>8842</v>
      </c>
      <c r="K1504" t="s">
        <v>89</v>
      </c>
      <c r="L1504" t="s">
        <v>90</v>
      </c>
      <c r="M1504" t="s">
        <v>72</v>
      </c>
      <c r="N1504" t="s">
        <v>8843</v>
      </c>
      <c r="O1504" t="s">
        <v>1101</v>
      </c>
      <c r="P1504" t="s">
        <v>73</v>
      </c>
      <c r="Q1504" t="str">
        <f>"14202"</f>
        <v>14202</v>
      </c>
      <c r="AC1504" t="s">
        <v>75</v>
      </c>
      <c r="AD1504" t="s">
        <v>72</v>
      </c>
      <c r="AE1504" t="s">
        <v>91</v>
      </c>
      <c r="AF1504" t="s">
        <v>4059</v>
      </c>
      <c r="AG1504" t="s">
        <v>77</v>
      </c>
    </row>
    <row r="1505" spans="1:33" x14ac:dyDescent="0.25">
      <c r="A1505" t="str">
        <f>"1184615163"</f>
        <v>1184615163</v>
      </c>
      <c r="B1505" t="str">
        <f>"02342092"</f>
        <v>02342092</v>
      </c>
      <c r="C1505" t="s">
        <v>8844</v>
      </c>
      <c r="D1505" t="s">
        <v>8845</v>
      </c>
      <c r="E1505" t="s">
        <v>8846</v>
      </c>
      <c r="G1505" t="s">
        <v>4797</v>
      </c>
      <c r="H1505" t="s">
        <v>4798</v>
      </c>
      <c r="I1505">
        <v>104</v>
      </c>
      <c r="J1505" t="s">
        <v>4799</v>
      </c>
      <c r="L1505" t="s">
        <v>79</v>
      </c>
      <c r="M1505" t="s">
        <v>72</v>
      </c>
      <c r="R1505" t="s">
        <v>8847</v>
      </c>
      <c r="W1505" t="s">
        <v>8848</v>
      </c>
      <c r="X1505" t="s">
        <v>7568</v>
      </c>
      <c r="Y1505" t="s">
        <v>242</v>
      </c>
      <c r="Z1505" t="s">
        <v>73</v>
      </c>
      <c r="AA1505" t="str">
        <f>"14701-2514"</f>
        <v>14701-2514</v>
      </c>
      <c r="AB1505" t="s">
        <v>74</v>
      </c>
      <c r="AC1505" t="s">
        <v>75</v>
      </c>
      <c r="AD1505" t="s">
        <v>72</v>
      </c>
      <c r="AE1505" t="s">
        <v>76</v>
      </c>
      <c r="AF1505" t="s">
        <v>4049</v>
      </c>
      <c r="AG1505" t="s">
        <v>77</v>
      </c>
    </row>
    <row r="1506" spans="1:33" x14ac:dyDescent="0.25">
      <c r="A1506" t="str">
        <f>"1881858702"</f>
        <v>1881858702</v>
      </c>
      <c r="B1506" t="str">
        <f>"03486399"</f>
        <v>03486399</v>
      </c>
      <c r="C1506" t="s">
        <v>8849</v>
      </c>
      <c r="D1506" t="s">
        <v>1417</v>
      </c>
      <c r="E1506" t="s">
        <v>1418</v>
      </c>
      <c r="G1506" t="s">
        <v>5142</v>
      </c>
      <c r="H1506" t="s">
        <v>1922</v>
      </c>
      <c r="J1506" t="s">
        <v>5143</v>
      </c>
      <c r="L1506" t="s">
        <v>79</v>
      </c>
      <c r="M1506" t="s">
        <v>72</v>
      </c>
      <c r="R1506" t="s">
        <v>1419</v>
      </c>
      <c r="W1506" t="s">
        <v>1418</v>
      </c>
      <c r="X1506" t="s">
        <v>1420</v>
      </c>
      <c r="Y1506" t="s">
        <v>221</v>
      </c>
      <c r="Z1506" t="s">
        <v>73</v>
      </c>
      <c r="AA1506" t="str">
        <f>"14221-5367"</f>
        <v>14221-5367</v>
      </c>
      <c r="AB1506" t="s">
        <v>74</v>
      </c>
      <c r="AC1506" t="s">
        <v>75</v>
      </c>
      <c r="AD1506" t="s">
        <v>72</v>
      </c>
      <c r="AE1506" t="s">
        <v>76</v>
      </c>
      <c r="AF1506" t="s">
        <v>3961</v>
      </c>
      <c r="AG1506" t="s">
        <v>77</v>
      </c>
    </row>
    <row r="1507" spans="1:33" x14ac:dyDescent="0.25">
      <c r="A1507" t="str">
        <f>"1205881547"</f>
        <v>1205881547</v>
      </c>
      <c r="B1507" t="str">
        <f>"02550278"</f>
        <v>02550278</v>
      </c>
      <c r="C1507" t="s">
        <v>8850</v>
      </c>
      <c r="D1507" t="s">
        <v>8851</v>
      </c>
      <c r="E1507" t="s">
        <v>8852</v>
      </c>
      <c r="G1507" t="s">
        <v>3969</v>
      </c>
      <c r="H1507" t="s">
        <v>3970</v>
      </c>
      <c r="J1507" t="s">
        <v>3971</v>
      </c>
      <c r="L1507" t="s">
        <v>79</v>
      </c>
      <c r="M1507" t="s">
        <v>72</v>
      </c>
      <c r="R1507" t="s">
        <v>8853</v>
      </c>
      <c r="W1507" t="s">
        <v>8854</v>
      </c>
      <c r="X1507" t="s">
        <v>234</v>
      </c>
      <c r="Y1507" t="s">
        <v>117</v>
      </c>
      <c r="Z1507" t="s">
        <v>73</v>
      </c>
      <c r="AA1507" t="str">
        <f>"14220-2039"</f>
        <v>14220-2039</v>
      </c>
      <c r="AB1507" t="s">
        <v>74</v>
      </c>
      <c r="AC1507" t="s">
        <v>75</v>
      </c>
      <c r="AD1507" t="s">
        <v>72</v>
      </c>
      <c r="AE1507" t="s">
        <v>76</v>
      </c>
      <c r="AF1507" t="s">
        <v>3974</v>
      </c>
      <c r="AG1507" t="s">
        <v>77</v>
      </c>
    </row>
    <row r="1508" spans="1:33" x14ac:dyDescent="0.25">
      <c r="A1508" t="str">
        <f>"1861423584"</f>
        <v>1861423584</v>
      </c>
      <c r="B1508" t="str">
        <f>"01965535"</f>
        <v>01965535</v>
      </c>
      <c r="C1508" t="s">
        <v>8855</v>
      </c>
      <c r="D1508" t="s">
        <v>8856</v>
      </c>
      <c r="E1508" t="s">
        <v>8857</v>
      </c>
      <c r="G1508" t="s">
        <v>8855</v>
      </c>
      <c r="H1508" t="s">
        <v>5977</v>
      </c>
      <c r="L1508" t="s">
        <v>80</v>
      </c>
      <c r="M1508" t="s">
        <v>72</v>
      </c>
      <c r="R1508" t="s">
        <v>8858</v>
      </c>
      <c r="W1508" t="s">
        <v>8857</v>
      </c>
      <c r="X1508" t="s">
        <v>5409</v>
      </c>
      <c r="Y1508" t="s">
        <v>117</v>
      </c>
      <c r="Z1508" t="s">
        <v>73</v>
      </c>
      <c r="AA1508" t="str">
        <f>"14204-2275"</f>
        <v>14204-2275</v>
      </c>
      <c r="AB1508" t="s">
        <v>74</v>
      </c>
      <c r="AC1508" t="s">
        <v>75</v>
      </c>
      <c r="AD1508" t="s">
        <v>72</v>
      </c>
      <c r="AE1508" t="s">
        <v>76</v>
      </c>
      <c r="AF1508" t="s">
        <v>3961</v>
      </c>
      <c r="AG1508" t="s">
        <v>77</v>
      </c>
    </row>
    <row r="1509" spans="1:33" x14ac:dyDescent="0.25">
      <c r="A1509" t="str">
        <f>"1548246788"</f>
        <v>1548246788</v>
      </c>
      <c r="B1509" t="str">
        <f>"01658415"</f>
        <v>01658415</v>
      </c>
      <c r="C1509" t="s">
        <v>8859</v>
      </c>
      <c r="D1509" t="s">
        <v>748</v>
      </c>
      <c r="E1509" t="s">
        <v>749</v>
      </c>
      <c r="G1509" t="s">
        <v>4014</v>
      </c>
      <c r="H1509" t="s">
        <v>750</v>
      </c>
      <c r="J1509" t="s">
        <v>4015</v>
      </c>
      <c r="L1509" t="s">
        <v>79</v>
      </c>
      <c r="M1509" t="s">
        <v>72</v>
      </c>
      <c r="R1509" t="s">
        <v>751</v>
      </c>
      <c r="W1509" t="s">
        <v>749</v>
      </c>
      <c r="X1509" t="s">
        <v>752</v>
      </c>
      <c r="Y1509" t="s">
        <v>221</v>
      </c>
      <c r="Z1509" t="s">
        <v>73</v>
      </c>
      <c r="AA1509" t="str">
        <f>"14221-2917"</f>
        <v>14221-2917</v>
      </c>
      <c r="AB1509" t="s">
        <v>74</v>
      </c>
      <c r="AC1509" t="s">
        <v>75</v>
      </c>
      <c r="AD1509" t="s">
        <v>72</v>
      </c>
      <c r="AE1509" t="s">
        <v>76</v>
      </c>
      <c r="AF1509" t="s">
        <v>3974</v>
      </c>
      <c r="AG1509" t="s">
        <v>77</v>
      </c>
    </row>
    <row r="1510" spans="1:33" x14ac:dyDescent="0.25">
      <c r="A1510" t="str">
        <f>"1922208453"</f>
        <v>1922208453</v>
      </c>
      <c r="B1510" t="str">
        <f>"03540443"</f>
        <v>03540443</v>
      </c>
      <c r="C1510" t="s">
        <v>8860</v>
      </c>
      <c r="D1510" t="s">
        <v>3375</v>
      </c>
      <c r="E1510" t="s">
        <v>3376</v>
      </c>
      <c r="G1510" t="s">
        <v>8861</v>
      </c>
      <c r="H1510" t="s">
        <v>2365</v>
      </c>
      <c r="J1510" t="s">
        <v>8862</v>
      </c>
      <c r="L1510" t="s">
        <v>71</v>
      </c>
      <c r="M1510" t="s">
        <v>72</v>
      </c>
      <c r="R1510" t="s">
        <v>3377</v>
      </c>
      <c r="W1510" t="s">
        <v>3376</v>
      </c>
      <c r="X1510" t="s">
        <v>3278</v>
      </c>
      <c r="Y1510" t="s">
        <v>221</v>
      </c>
      <c r="Z1510" t="s">
        <v>73</v>
      </c>
      <c r="AA1510" t="str">
        <f>"14221-3730"</f>
        <v>14221-3730</v>
      </c>
      <c r="AB1510" t="s">
        <v>74</v>
      </c>
      <c r="AC1510" t="s">
        <v>75</v>
      </c>
      <c r="AD1510" t="s">
        <v>72</v>
      </c>
      <c r="AE1510" t="s">
        <v>76</v>
      </c>
      <c r="AF1510" t="s">
        <v>3974</v>
      </c>
      <c r="AG1510" t="s">
        <v>77</v>
      </c>
    </row>
    <row r="1511" spans="1:33" x14ac:dyDescent="0.25">
      <c r="A1511" t="str">
        <f>"1679568596"</f>
        <v>1679568596</v>
      </c>
      <c r="B1511" t="str">
        <f>"01380643"</f>
        <v>01380643</v>
      </c>
      <c r="C1511" t="s">
        <v>8863</v>
      </c>
      <c r="D1511" t="s">
        <v>1158</v>
      </c>
      <c r="E1511" t="s">
        <v>1159</v>
      </c>
      <c r="G1511" t="s">
        <v>6088</v>
      </c>
      <c r="H1511" t="s">
        <v>623</v>
      </c>
      <c r="J1511" t="s">
        <v>6089</v>
      </c>
      <c r="L1511" t="s">
        <v>79</v>
      </c>
      <c r="M1511" t="s">
        <v>72</v>
      </c>
      <c r="R1511" t="s">
        <v>1160</v>
      </c>
      <c r="W1511" t="s">
        <v>1159</v>
      </c>
      <c r="X1511" t="s">
        <v>1161</v>
      </c>
      <c r="Y1511" t="s">
        <v>1079</v>
      </c>
      <c r="Z1511" t="s">
        <v>73</v>
      </c>
      <c r="AA1511" t="str">
        <f>"14075-5835"</f>
        <v>14075-5835</v>
      </c>
      <c r="AB1511" t="s">
        <v>74</v>
      </c>
      <c r="AC1511" t="s">
        <v>75</v>
      </c>
      <c r="AD1511" t="s">
        <v>72</v>
      </c>
      <c r="AE1511" t="s">
        <v>76</v>
      </c>
      <c r="AF1511" t="s">
        <v>3974</v>
      </c>
      <c r="AG1511" t="s">
        <v>77</v>
      </c>
    </row>
    <row r="1512" spans="1:33" x14ac:dyDescent="0.25">
      <c r="A1512" t="str">
        <f>"1093788432"</f>
        <v>1093788432</v>
      </c>
      <c r="B1512" t="str">
        <f>"02564047"</f>
        <v>02564047</v>
      </c>
      <c r="C1512" t="s">
        <v>8864</v>
      </c>
      <c r="D1512" t="s">
        <v>2724</v>
      </c>
      <c r="E1512" t="s">
        <v>2725</v>
      </c>
      <c r="G1512" t="s">
        <v>7221</v>
      </c>
      <c r="H1512" t="s">
        <v>1005</v>
      </c>
      <c r="J1512" t="s">
        <v>7222</v>
      </c>
      <c r="L1512" t="s">
        <v>79</v>
      </c>
      <c r="M1512" t="s">
        <v>72</v>
      </c>
      <c r="R1512" t="s">
        <v>2726</v>
      </c>
      <c r="W1512" t="s">
        <v>2725</v>
      </c>
      <c r="X1512" t="s">
        <v>295</v>
      </c>
      <c r="Y1512" t="s">
        <v>117</v>
      </c>
      <c r="Z1512" t="s">
        <v>73</v>
      </c>
      <c r="AA1512" t="str">
        <f>"14215-3021"</f>
        <v>14215-3021</v>
      </c>
      <c r="AB1512" t="s">
        <v>74</v>
      </c>
      <c r="AC1512" t="s">
        <v>75</v>
      </c>
      <c r="AD1512" t="s">
        <v>72</v>
      </c>
      <c r="AE1512" t="s">
        <v>76</v>
      </c>
      <c r="AF1512" t="s">
        <v>3974</v>
      </c>
      <c r="AG1512" t="s">
        <v>77</v>
      </c>
    </row>
    <row r="1513" spans="1:33" x14ac:dyDescent="0.25">
      <c r="A1513" t="str">
        <f>"1841297496"</f>
        <v>1841297496</v>
      </c>
      <c r="B1513" t="str">
        <f>"01566072"</f>
        <v>01566072</v>
      </c>
      <c r="C1513" t="s">
        <v>8865</v>
      </c>
      <c r="D1513" t="s">
        <v>3572</v>
      </c>
      <c r="E1513" t="s">
        <v>3573</v>
      </c>
      <c r="G1513" t="s">
        <v>4786</v>
      </c>
      <c r="H1513" t="s">
        <v>1728</v>
      </c>
      <c r="J1513" t="s">
        <v>4787</v>
      </c>
      <c r="L1513" t="s">
        <v>79</v>
      </c>
      <c r="M1513" t="s">
        <v>72</v>
      </c>
      <c r="R1513" t="s">
        <v>3574</v>
      </c>
      <c r="W1513" t="s">
        <v>3575</v>
      </c>
      <c r="X1513" t="s">
        <v>2059</v>
      </c>
      <c r="Y1513" t="s">
        <v>117</v>
      </c>
      <c r="Z1513" t="s">
        <v>73</v>
      </c>
      <c r="AA1513" t="str">
        <f>"14209-1118"</f>
        <v>14209-1118</v>
      </c>
      <c r="AB1513" t="s">
        <v>74</v>
      </c>
      <c r="AC1513" t="s">
        <v>75</v>
      </c>
      <c r="AD1513" t="s">
        <v>72</v>
      </c>
      <c r="AE1513" t="s">
        <v>76</v>
      </c>
      <c r="AF1513" t="s">
        <v>3974</v>
      </c>
      <c r="AG1513" t="s">
        <v>77</v>
      </c>
    </row>
    <row r="1514" spans="1:33" x14ac:dyDescent="0.25">
      <c r="A1514" t="str">
        <f>"1093706657"</f>
        <v>1093706657</v>
      </c>
      <c r="B1514" t="str">
        <f>"02166287"</f>
        <v>02166287</v>
      </c>
      <c r="C1514" t="s">
        <v>8866</v>
      </c>
      <c r="D1514" t="s">
        <v>2547</v>
      </c>
      <c r="E1514" t="s">
        <v>2548</v>
      </c>
      <c r="G1514" t="s">
        <v>5533</v>
      </c>
      <c r="H1514" t="s">
        <v>2383</v>
      </c>
      <c r="J1514" t="s">
        <v>5534</v>
      </c>
      <c r="L1514" t="s">
        <v>80</v>
      </c>
      <c r="M1514" t="s">
        <v>81</v>
      </c>
      <c r="R1514" t="s">
        <v>2549</v>
      </c>
      <c r="W1514" t="s">
        <v>2550</v>
      </c>
      <c r="X1514" t="s">
        <v>1448</v>
      </c>
      <c r="Y1514" t="s">
        <v>117</v>
      </c>
      <c r="Z1514" t="s">
        <v>73</v>
      </c>
      <c r="AA1514" t="str">
        <f>"14222-2006"</f>
        <v>14222-2006</v>
      </c>
      <c r="AB1514" t="s">
        <v>74</v>
      </c>
      <c r="AC1514" t="s">
        <v>75</v>
      </c>
      <c r="AD1514" t="s">
        <v>72</v>
      </c>
      <c r="AE1514" t="s">
        <v>76</v>
      </c>
      <c r="AF1514" t="s">
        <v>3961</v>
      </c>
      <c r="AG1514" t="s">
        <v>77</v>
      </c>
    </row>
    <row r="1515" spans="1:33" x14ac:dyDescent="0.25">
      <c r="A1515" t="str">
        <f>"1972883304"</f>
        <v>1972883304</v>
      </c>
      <c r="B1515" t="str">
        <f>"03757444"</f>
        <v>03757444</v>
      </c>
      <c r="C1515" t="s">
        <v>8867</v>
      </c>
      <c r="D1515" t="s">
        <v>8868</v>
      </c>
      <c r="E1515" t="s">
        <v>5469</v>
      </c>
      <c r="G1515" t="s">
        <v>4768</v>
      </c>
      <c r="H1515" t="s">
        <v>4769</v>
      </c>
      <c r="J1515" t="s">
        <v>4770</v>
      </c>
      <c r="L1515" t="s">
        <v>35</v>
      </c>
      <c r="M1515" t="s">
        <v>72</v>
      </c>
      <c r="R1515" t="s">
        <v>8869</v>
      </c>
      <c r="W1515" t="s">
        <v>5469</v>
      </c>
      <c r="X1515" t="s">
        <v>234</v>
      </c>
      <c r="Y1515" t="s">
        <v>117</v>
      </c>
      <c r="Z1515" t="s">
        <v>73</v>
      </c>
      <c r="AA1515" t="str">
        <f>"14220-2039"</f>
        <v>14220-2039</v>
      </c>
      <c r="AB1515" t="s">
        <v>112</v>
      </c>
      <c r="AC1515" t="s">
        <v>75</v>
      </c>
      <c r="AD1515" t="s">
        <v>72</v>
      </c>
      <c r="AE1515" t="s">
        <v>76</v>
      </c>
      <c r="AF1515" t="s">
        <v>3986</v>
      </c>
      <c r="AG1515" t="s">
        <v>77</v>
      </c>
    </row>
    <row r="1516" spans="1:33" x14ac:dyDescent="0.25">
      <c r="A1516" t="str">
        <f>"1770586398"</f>
        <v>1770586398</v>
      </c>
      <c r="B1516" t="str">
        <f>"02946110"</f>
        <v>02946110</v>
      </c>
      <c r="C1516" t="s">
        <v>8870</v>
      </c>
      <c r="D1516" t="s">
        <v>8871</v>
      </c>
      <c r="E1516" t="s">
        <v>8872</v>
      </c>
      <c r="L1516" t="s">
        <v>80</v>
      </c>
      <c r="M1516" t="s">
        <v>81</v>
      </c>
      <c r="R1516" t="s">
        <v>8872</v>
      </c>
      <c r="W1516" t="s">
        <v>8873</v>
      </c>
      <c r="X1516" t="s">
        <v>8874</v>
      </c>
      <c r="Y1516" t="s">
        <v>378</v>
      </c>
      <c r="Z1516" t="s">
        <v>73</v>
      </c>
      <c r="AA1516" t="str">
        <f>"14779-1529"</f>
        <v>14779-1529</v>
      </c>
      <c r="AB1516" t="s">
        <v>74</v>
      </c>
      <c r="AC1516" t="s">
        <v>75</v>
      </c>
      <c r="AD1516" t="s">
        <v>72</v>
      </c>
      <c r="AE1516" t="s">
        <v>76</v>
      </c>
      <c r="AF1516" t="s">
        <v>4049</v>
      </c>
      <c r="AG1516" t="s">
        <v>77</v>
      </c>
    </row>
    <row r="1517" spans="1:33" x14ac:dyDescent="0.25">
      <c r="A1517" t="str">
        <f>"1013986256"</f>
        <v>1013986256</v>
      </c>
      <c r="B1517" t="str">
        <f>"02367215"</f>
        <v>02367215</v>
      </c>
      <c r="C1517" t="s">
        <v>8875</v>
      </c>
      <c r="D1517" t="s">
        <v>8876</v>
      </c>
      <c r="E1517" t="s">
        <v>8877</v>
      </c>
      <c r="L1517" t="s">
        <v>80</v>
      </c>
      <c r="M1517" t="s">
        <v>72</v>
      </c>
      <c r="R1517" t="s">
        <v>8878</v>
      </c>
      <c r="W1517" t="s">
        <v>8879</v>
      </c>
      <c r="X1517" t="s">
        <v>8880</v>
      </c>
      <c r="Y1517" t="s">
        <v>206</v>
      </c>
      <c r="Z1517" t="s">
        <v>73</v>
      </c>
      <c r="AA1517" t="str">
        <f>"14048-2599"</f>
        <v>14048-2599</v>
      </c>
      <c r="AB1517" t="s">
        <v>74</v>
      </c>
      <c r="AC1517" t="s">
        <v>75</v>
      </c>
      <c r="AD1517" t="s">
        <v>72</v>
      </c>
      <c r="AE1517" t="s">
        <v>76</v>
      </c>
      <c r="AF1517" t="s">
        <v>7887</v>
      </c>
      <c r="AG1517" t="s">
        <v>77</v>
      </c>
    </row>
    <row r="1518" spans="1:33" x14ac:dyDescent="0.25">
      <c r="A1518" t="str">
        <f>"1053429829"</f>
        <v>1053429829</v>
      </c>
      <c r="B1518" t="str">
        <f>"02050080"</f>
        <v>02050080</v>
      </c>
      <c r="C1518" t="s">
        <v>8881</v>
      </c>
      <c r="D1518" t="s">
        <v>8882</v>
      </c>
      <c r="E1518" t="s">
        <v>8883</v>
      </c>
      <c r="L1518" t="s">
        <v>80</v>
      </c>
      <c r="M1518" t="s">
        <v>72</v>
      </c>
      <c r="R1518" t="s">
        <v>8884</v>
      </c>
      <c r="W1518" t="s">
        <v>8883</v>
      </c>
      <c r="X1518" t="s">
        <v>8885</v>
      </c>
      <c r="Y1518" t="s">
        <v>242</v>
      </c>
      <c r="Z1518" t="s">
        <v>73</v>
      </c>
      <c r="AA1518" t="str">
        <f>"14701-6940"</f>
        <v>14701-6940</v>
      </c>
      <c r="AB1518" t="s">
        <v>74</v>
      </c>
      <c r="AC1518" t="s">
        <v>75</v>
      </c>
      <c r="AD1518" t="s">
        <v>72</v>
      </c>
      <c r="AE1518" t="s">
        <v>76</v>
      </c>
      <c r="AF1518" t="s">
        <v>7887</v>
      </c>
      <c r="AG1518" t="s">
        <v>77</v>
      </c>
    </row>
    <row r="1519" spans="1:33" x14ac:dyDescent="0.25">
      <c r="A1519" t="str">
        <f>"1407112105"</f>
        <v>1407112105</v>
      </c>
      <c r="B1519" t="str">
        <f>"03969344"</f>
        <v>03969344</v>
      </c>
      <c r="C1519" t="s">
        <v>8886</v>
      </c>
      <c r="D1519" t="s">
        <v>8887</v>
      </c>
      <c r="E1519" t="s">
        <v>8888</v>
      </c>
      <c r="L1519" t="s">
        <v>79</v>
      </c>
      <c r="M1519" t="s">
        <v>72</v>
      </c>
      <c r="R1519" t="s">
        <v>8888</v>
      </c>
      <c r="W1519" t="s">
        <v>8888</v>
      </c>
      <c r="X1519" t="s">
        <v>8889</v>
      </c>
      <c r="Y1519" t="s">
        <v>817</v>
      </c>
      <c r="Z1519" t="s">
        <v>73</v>
      </c>
      <c r="AA1519" t="str">
        <f>"14063-2200"</f>
        <v>14063-2200</v>
      </c>
      <c r="AB1519" t="s">
        <v>74</v>
      </c>
      <c r="AC1519" t="s">
        <v>75</v>
      </c>
      <c r="AD1519" t="s">
        <v>72</v>
      </c>
      <c r="AE1519" t="s">
        <v>76</v>
      </c>
      <c r="AF1519" t="s">
        <v>7966</v>
      </c>
      <c r="AG1519" t="s">
        <v>77</v>
      </c>
    </row>
    <row r="1520" spans="1:33" x14ac:dyDescent="0.25">
      <c r="A1520" t="str">
        <f>"1992761266"</f>
        <v>1992761266</v>
      </c>
      <c r="B1520" t="str">
        <f>"03006677"</f>
        <v>03006677</v>
      </c>
      <c r="C1520" t="s">
        <v>8890</v>
      </c>
      <c r="D1520" t="s">
        <v>8891</v>
      </c>
      <c r="E1520" t="s">
        <v>8892</v>
      </c>
      <c r="G1520" t="s">
        <v>8893</v>
      </c>
      <c r="H1520" t="s">
        <v>8894</v>
      </c>
      <c r="J1520" t="s">
        <v>8895</v>
      </c>
      <c r="L1520" t="s">
        <v>80</v>
      </c>
      <c r="M1520" t="s">
        <v>72</v>
      </c>
      <c r="R1520" t="s">
        <v>8896</v>
      </c>
      <c r="W1520" t="s">
        <v>8892</v>
      </c>
      <c r="Y1520" t="s">
        <v>117</v>
      </c>
      <c r="Z1520" t="s">
        <v>73</v>
      </c>
      <c r="AA1520" t="str">
        <f>"14214-2692"</f>
        <v>14214-2692</v>
      </c>
      <c r="AB1520" t="s">
        <v>74</v>
      </c>
      <c r="AC1520" t="s">
        <v>75</v>
      </c>
      <c r="AD1520" t="s">
        <v>72</v>
      </c>
      <c r="AE1520" t="s">
        <v>76</v>
      </c>
      <c r="AF1520" t="s">
        <v>3974</v>
      </c>
      <c r="AG1520" t="s">
        <v>77</v>
      </c>
    </row>
    <row r="1521" spans="1:33" x14ac:dyDescent="0.25">
      <c r="A1521" t="str">
        <f>"1023170719"</f>
        <v>1023170719</v>
      </c>
      <c r="B1521" t="str">
        <f>"00945377"</f>
        <v>00945377</v>
      </c>
      <c r="C1521" t="s">
        <v>8897</v>
      </c>
      <c r="D1521" t="s">
        <v>3907</v>
      </c>
      <c r="E1521" t="s">
        <v>3908</v>
      </c>
      <c r="G1521" t="s">
        <v>8897</v>
      </c>
      <c r="H1521" t="s">
        <v>8898</v>
      </c>
      <c r="J1521" t="s">
        <v>8899</v>
      </c>
      <c r="L1521" t="s">
        <v>79</v>
      </c>
      <c r="M1521" t="s">
        <v>72</v>
      </c>
      <c r="R1521" t="s">
        <v>3906</v>
      </c>
      <c r="W1521" t="s">
        <v>3909</v>
      </c>
      <c r="X1521" t="s">
        <v>3910</v>
      </c>
      <c r="Y1521" t="s">
        <v>117</v>
      </c>
      <c r="Z1521" t="s">
        <v>73</v>
      </c>
      <c r="AA1521" t="str">
        <f>"14223-2861"</f>
        <v>14223-2861</v>
      </c>
      <c r="AB1521" t="s">
        <v>113</v>
      </c>
      <c r="AC1521" t="s">
        <v>75</v>
      </c>
      <c r="AD1521" t="s">
        <v>72</v>
      </c>
      <c r="AE1521" t="s">
        <v>76</v>
      </c>
      <c r="AF1521" t="s">
        <v>3974</v>
      </c>
      <c r="AG1521" t="s">
        <v>77</v>
      </c>
    </row>
    <row r="1522" spans="1:33" x14ac:dyDescent="0.25">
      <c r="A1522" t="str">
        <f>"1740248855"</f>
        <v>1740248855</v>
      </c>
      <c r="B1522" t="str">
        <f>"01075772"</f>
        <v>01075772</v>
      </c>
      <c r="C1522" t="s">
        <v>8900</v>
      </c>
      <c r="D1522" t="s">
        <v>2455</v>
      </c>
      <c r="E1522" t="s">
        <v>2456</v>
      </c>
      <c r="G1522" t="s">
        <v>8900</v>
      </c>
      <c r="H1522" t="s">
        <v>7918</v>
      </c>
      <c r="J1522" t="s">
        <v>8901</v>
      </c>
      <c r="L1522" t="s">
        <v>79</v>
      </c>
      <c r="M1522" t="s">
        <v>72</v>
      </c>
      <c r="R1522" t="s">
        <v>2457</v>
      </c>
      <c r="W1522" t="s">
        <v>2456</v>
      </c>
      <c r="X1522" t="s">
        <v>2458</v>
      </c>
      <c r="Y1522" t="s">
        <v>228</v>
      </c>
      <c r="Z1522" t="s">
        <v>73</v>
      </c>
      <c r="AA1522" t="str">
        <f>"14226-1900"</f>
        <v>14226-1900</v>
      </c>
      <c r="AB1522" t="s">
        <v>74</v>
      </c>
      <c r="AC1522" t="s">
        <v>75</v>
      </c>
      <c r="AD1522" t="s">
        <v>72</v>
      </c>
      <c r="AE1522" t="s">
        <v>76</v>
      </c>
      <c r="AG1522" t="s">
        <v>77</v>
      </c>
    </row>
    <row r="1523" spans="1:33" x14ac:dyDescent="0.25">
      <c r="A1523" t="str">
        <f>"1598716920"</f>
        <v>1598716920</v>
      </c>
      <c r="B1523" t="str">
        <f>"01851541"</f>
        <v>01851541</v>
      </c>
      <c r="C1523" t="s">
        <v>8902</v>
      </c>
      <c r="D1523" t="s">
        <v>252</v>
      </c>
      <c r="E1523" t="s">
        <v>253</v>
      </c>
      <c r="G1523" t="s">
        <v>8903</v>
      </c>
      <c r="H1523" t="s">
        <v>8904</v>
      </c>
      <c r="J1523" t="s">
        <v>8905</v>
      </c>
      <c r="L1523" t="s">
        <v>79</v>
      </c>
      <c r="M1523" t="s">
        <v>81</v>
      </c>
      <c r="R1523" t="s">
        <v>254</v>
      </c>
      <c r="W1523" t="s">
        <v>253</v>
      </c>
      <c r="X1523" t="s">
        <v>255</v>
      </c>
      <c r="Y1523" t="s">
        <v>114</v>
      </c>
      <c r="Z1523" t="s">
        <v>73</v>
      </c>
      <c r="AA1523" t="str">
        <f>"10457-5524"</f>
        <v>10457-5524</v>
      </c>
      <c r="AB1523" t="s">
        <v>74</v>
      </c>
      <c r="AC1523" t="s">
        <v>75</v>
      </c>
      <c r="AD1523" t="s">
        <v>72</v>
      </c>
      <c r="AE1523" t="s">
        <v>76</v>
      </c>
      <c r="AF1523" t="s">
        <v>3974</v>
      </c>
      <c r="AG1523" t="s">
        <v>77</v>
      </c>
    </row>
    <row r="1524" spans="1:33" x14ac:dyDescent="0.25">
      <c r="A1524" t="str">
        <f>"1497723688"</f>
        <v>1497723688</v>
      </c>
      <c r="B1524" t="str">
        <f>"00635823"</f>
        <v>00635823</v>
      </c>
      <c r="C1524" t="s">
        <v>8906</v>
      </c>
      <c r="D1524" t="s">
        <v>8907</v>
      </c>
      <c r="E1524" t="s">
        <v>8908</v>
      </c>
      <c r="G1524" t="s">
        <v>8906</v>
      </c>
      <c r="H1524" t="s">
        <v>8909</v>
      </c>
      <c r="J1524" t="s">
        <v>8910</v>
      </c>
      <c r="L1524" t="s">
        <v>79</v>
      </c>
      <c r="M1524" t="s">
        <v>72</v>
      </c>
      <c r="R1524" t="s">
        <v>8911</v>
      </c>
      <c r="W1524" t="s">
        <v>8908</v>
      </c>
      <c r="X1524" t="s">
        <v>1412</v>
      </c>
      <c r="Y1524" t="s">
        <v>228</v>
      </c>
      <c r="Z1524" t="s">
        <v>73</v>
      </c>
      <c r="AA1524" t="str">
        <f>"14226-1904"</f>
        <v>14226-1904</v>
      </c>
      <c r="AB1524" t="s">
        <v>74</v>
      </c>
      <c r="AC1524" t="s">
        <v>75</v>
      </c>
      <c r="AD1524" t="s">
        <v>72</v>
      </c>
      <c r="AE1524" t="s">
        <v>76</v>
      </c>
      <c r="AF1524" t="s">
        <v>3974</v>
      </c>
      <c r="AG1524" t="s">
        <v>77</v>
      </c>
    </row>
    <row r="1525" spans="1:33" x14ac:dyDescent="0.25">
      <c r="A1525" t="str">
        <f>"1932335155"</f>
        <v>1932335155</v>
      </c>
      <c r="B1525" t="str">
        <f>"03469261"</f>
        <v>03469261</v>
      </c>
      <c r="C1525" t="s">
        <v>8912</v>
      </c>
      <c r="D1525" t="s">
        <v>8913</v>
      </c>
      <c r="E1525" t="s">
        <v>8914</v>
      </c>
      <c r="G1525" t="s">
        <v>8912</v>
      </c>
      <c r="H1525" t="s">
        <v>8915</v>
      </c>
      <c r="J1525" t="s">
        <v>8916</v>
      </c>
      <c r="L1525" t="s">
        <v>80</v>
      </c>
      <c r="M1525" t="s">
        <v>72</v>
      </c>
      <c r="R1525" t="s">
        <v>8917</v>
      </c>
      <c r="W1525" t="s">
        <v>8918</v>
      </c>
      <c r="X1525" t="s">
        <v>1864</v>
      </c>
      <c r="Y1525" t="s">
        <v>326</v>
      </c>
      <c r="Z1525" t="s">
        <v>73</v>
      </c>
      <c r="AA1525" t="str">
        <f>"14127-1842"</f>
        <v>14127-1842</v>
      </c>
      <c r="AB1525" t="s">
        <v>74</v>
      </c>
      <c r="AC1525" t="s">
        <v>75</v>
      </c>
      <c r="AD1525" t="s">
        <v>72</v>
      </c>
      <c r="AE1525" t="s">
        <v>76</v>
      </c>
      <c r="AG1525" t="s">
        <v>77</v>
      </c>
    </row>
    <row r="1526" spans="1:33" x14ac:dyDescent="0.25">
      <c r="A1526" t="str">
        <f>"1942232632"</f>
        <v>1942232632</v>
      </c>
      <c r="B1526" t="str">
        <f>"00885218"</f>
        <v>00885218</v>
      </c>
      <c r="C1526" t="s">
        <v>8919</v>
      </c>
      <c r="D1526" t="s">
        <v>1406</v>
      </c>
      <c r="E1526" t="s">
        <v>1407</v>
      </c>
      <c r="G1526" t="s">
        <v>5742</v>
      </c>
      <c r="H1526" t="s">
        <v>1408</v>
      </c>
      <c r="J1526" t="s">
        <v>5743</v>
      </c>
      <c r="L1526" t="s">
        <v>80</v>
      </c>
      <c r="M1526" t="s">
        <v>72</v>
      </c>
      <c r="R1526" t="s">
        <v>1409</v>
      </c>
      <c r="W1526" t="s">
        <v>1410</v>
      </c>
      <c r="X1526" t="s">
        <v>1411</v>
      </c>
      <c r="Y1526" t="s">
        <v>117</v>
      </c>
      <c r="Z1526" t="s">
        <v>73</v>
      </c>
      <c r="AA1526" t="str">
        <f>"14220-1700"</f>
        <v>14220-1700</v>
      </c>
      <c r="AB1526" t="s">
        <v>74</v>
      </c>
      <c r="AC1526" t="s">
        <v>75</v>
      </c>
      <c r="AD1526" t="s">
        <v>72</v>
      </c>
      <c r="AE1526" t="s">
        <v>76</v>
      </c>
      <c r="AF1526" t="s">
        <v>3961</v>
      </c>
      <c r="AG1526" t="s">
        <v>77</v>
      </c>
    </row>
    <row r="1527" spans="1:33" x14ac:dyDescent="0.25">
      <c r="A1527" t="str">
        <f>"1417119355"</f>
        <v>1417119355</v>
      </c>
      <c r="B1527" t="str">
        <f>"03361222"</f>
        <v>03361222</v>
      </c>
      <c r="C1527" t="s">
        <v>8920</v>
      </c>
      <c r="D1527" t="s">
        <v>1375</v>
      </c>
      <c r="E1527" t="s">
        <v>1376</v>
      </c>
      <c r="G1527" t="s">
        <v>8920</v>
      </c>
      <c r="H1527" t="s">
        <v>2615</v>
      </c>
      <c r="J1527" t="s">
        <v>8921</v>
      </c>
      <c r="L1527" t="s">
        <v>79</v>
      </c>
      <c r="M1527" t="s">
        <v>72</v>
      </c>
      <c r="R1527" t="s">
        <v>1377</v>
      </c>
      <c r="W1527" t="s">
        <v>1376</v>
      </c>
      <c r="X1527" t="s">
        <v>295</v>
      </c>
      <c r="Y1527" t="s">
        <v>117</v>
      </c>
      <c r="Z1527" t="s">
        <v>73</v>
      </c>
      <c r="AA1527" t="str">
        <f>"14215-3021"</f>
        <v>14215-3021</v>
      </c>
      <c r="AB1527" t="s">
        <v>74</v>
      </c>
      <c r="AC1527" t="s">
        <v>75</v>
      </c>
      <c r="AD1527" t="s">
        <v>72</v>
      </c>
      <c r="AE1527" t="s">
        <v>76</v>
      </c>
      <c r="AF1527" t="s">
        <v>3974</v>
      </c>
      <c r="AG1527" t="s">
        <v>77</v>
      </c>
    </row>
    <row r="1528" spans="1:33" x14ac:dyDescent="0.25">
      <c r="A1528" t="str">
        <f>"1447257399"</f>
        <v>1447257399</v>
      </c>
      <c r="B1528" t="str">
        <f>"02256173"</f>
        <v>02256173</v>
      </c>
      <c r="C1528" t="s">
        <v>8922</v>
      </c>
      <c r="D1528" t="s">
        <v>1645</v>
      </c>
      <c r="E1528" t="s">
        <v>1646</v>
      </c>
      <c r="G1528" t="s">
        <v>8923</v>
      </c>
      <c r="H1528" t="s">
        <v>1647</v>
      </c>
      <c r="J1528" t="s">
        <v>8924</v>
      </c>
      <c r="L1528" t="s">
        <v>80</v>
      </c>
      <c r="M1528" t="s">
        <v>72</v>
      </c>
      <c r="R1528" t="s">
        <v>1648</v>
      </c>
      <c r="W1528" t="s">
        <v>1646</v>
      </c>
      <c r="X1528" t="s">
        <v>1649</v>
      </c>
      <c r="Y1528" t="s">
        <v>228</v>
      </c>
      <c r="Z1528" t="s">
        <v>73</v>
      </c>
      <c r="AA1528" t="str">
        <f>"14228-2784"</f>
        <v>14228-2784</v>
      </c>
      <c r="AB1528" t="s">
        <v>74</v>
      </c>
      <c r="AC1528" t="s">
        <v>75</v>
      </c>
      <c r="AD1528" t="s">
        <v>72</v>
      </c>
      <c r="AE1528" t="s">
        <v>76</v>
      </c>
      <c r="AF1528" t="s">
        <v>3961</v>
      </c>
      <c r="AG1528" t="s">
        <v>77</v>
      </c>
    </row>
    <row r="1529" spans="1:33" x14ac:dyDescent="0.25">
      <c r="A1529" t="str">
        <f>"1629036454"</f>
        <v>1629036454</v>
      </c>
      <c r="B1529" t="str">
        <f>"01842988"</f>
        <v>01842988</v>
      </c>
      <c r="C1529" t="s">
        <v>8925</v>
      </c>
      <c r="D1529" t="s">
        <v>8926</v>
      </c>
      <c r="E1529" t="s">
        <v>8927</v>
      </c>
      <c r="G1529" t="s">
        <v>5076</v>
      </c>
      <c r="H1529" t="s">
        <v>5077</v>
      </c>
      <c r="J1529" t="s">
        <v>5078</v>
      </c>
      <c r="L1529" t="s">
        <v>79</v>
      </c>
      <c r="M1529" t="s">
        <v>72</v>
      </c>
      <c r="R1529" t="s">
        <v>8927</v>
      </c>
      <c r="W1529" t="s">
        <v>8927</v>
      </c>
      <c r="X1529" t="s">
        <v>8927</v>
      </c>
      <c r="Y1529" t="s">
        <v>117</v>
      </c>
      <c r="Z1529" t="s">
        <v>73</v>
      </c>
      <c r="AA1529" t="str">
        <f>"14220-2039"</f>
        <v>14220-2039</v>
      </c>
      <c r="AB1529" t="s">
        <v>74</v>
      </c>
      <c r="AC1529" t="s">
        <v>75</v>
      </c>
      <c r="AD1529" t="s">
        <v>72</v>
      </c>
      <c r="AE1529" t="s">
        <v>76</v>
      </c>
      <c r="AF1529" t="s">
        <v>3974</v>
      </c>
      <c r="AG1529" t="s">
        <v>77</v>
      </c>
    </row>
    <row r="1530" spans="1:33" x14ac:dyDescent="0.25">
      <c r="A1530" t="str">
        <f>"1093778565"</f>
        <v>1093778565</v>
      </c>
      <c r="B1530" t="str">
        <f>"02740792"</f>
        <v>02740792</v>
      </c>
      <c r="C1530" t="s">
        <v>8928</v>
      </c>
      <c r="D1530" t="s">
        <v>8929</v>
      </c>
      <c r="E1530" t="s">
        <v>8930</v>
      </c>
      <c r="G1530" t="s">
        <v>8931</v>
      </c>
      <c r="H1530" t="s">
        <v>8932</v>
      </c>
      <c r="J1530" t="s">
        <v>8933</v>
      </c>
      <c r="L1530" t="s">
        <v>79</v>
      </c>
      <c r="M1530" t="s">
        <v>72</v>
      </c>
      <c r="R1530" t="s">
        <v>8934</v>
      </c>
      <c r="W1530" t="s">
        <v>8930</v>
      </c>
      <c r="X1530" t="s">
        <v>8935</v>
      </c>
      <c r="Y1530" t="s">
        <v>209</v>
      </c>
      <c r="Z1530" t="s">
        <v>73</v>
      </c>
      <c r="AA1530" t="str">
        <f>"14305-1275"</f>
        <v>14305-1275</v>
      </c>
      <c r="AB1530" t="s">
        <v>113</v>
      </c>
      <c r="AC1530" t="s">
        <v>75</v>
      </c>
      <c r="AD1530" t="s">
        <v>72</v>
      </c>
      <c r="AE1530" t="s">
        <v>76</v>
      </c>
      <c r="AF1530" t="s">
        <v>3974</v>
      </c>
      <c r="AG1530" t="s">
        <v>77</v>
      </c>
    </row>
    <row r="1531" spans="1:33" x14ac:dyDescent="0.25">
      <c r="A1531" t="str">
        <f>"1487622148"</f>
        <v>1487622148</v>
      </c>
      <c r="B1531" t="str">
        <f>"01747020"</f>
        <v>01747020</v>
      </c>
      <c r="C1531" t="s">
        <v>8936</v>
      </c>
      <c r="D1531" t="s">
        <v>8937</v>
      </c>
      <c r="E1531" t="s">
        <v>8938</v>
      </c>
      <c r="G1531" t="s">
        <v>8936</v>
      </c>
      <c r="H1531" t="s">
        <v>8939</v>
      </c>
      <c r="J1531" t="s">
        <v>8940</v>
      </c>
      <c r="L1531" t="s">
        <v>80</v>
      </c>
      <c r="M1531" t="s">
        <v>72</v>
      </c>
      <c r="R1531" t="s">
        <v>8941</v>
      </c>
      <c r="W1531" t="s">
        <v>8938</v>
      </c>
      <c r="X1531" t="s">
        <v>747</v>
      </c>
      <c r="Y1531" t="s">
        <v>117</v>
      </c>
      <c r="Z1531" t="s">
        <v>73</v>
      </c>
      <c r="AA1531" t="str">
        <f>"14207-1816"</f>
        <v>14207-1816</v>
      </c>
      <c r="AB1531" t="s">
        <v>74</v>
      </c>
      <c r="AC1531" t="s">
        <v>75</v>
      </c>
      <c r="AD1531" t="s">
        <v>72</v>
      </c>
      <c r="AE1531" t="s">
        <v>76</v>
      </c>
      <c r="AF1531" t="s">
        <v>3961</v>
      </c>
      <c r="AG1531" t="s">
        <v>77</v>
      </c>
    </row>
    <row r="1532" spans="1:33" x14ac:dyDescent="0.25">
      <c r="A1532" t="str">
        <f>"1528042108"</f>
        <v>1528042108</v>
      </c>
      <c r="B1532" t="str">
        <f>"01736025"</f>
        <v>01736025</v>
      </c>
      <c r="C1532" t="s">
        <v>8942</v>
      </c>
      <c r="D1532" t="s">
        <v>8943</v>
      </c>
      <c r="E1532" t="s">
        <v>8944</v>
      </c>
      <c r="G1532" t="s">
        <v>4883</v>
      </c>
      <c r="H1532" t="s">
        <v>5619</v>
      </c>
      <c r="J1532" t="s">
        <v>5620</v>
      </c>
      <c r="L1532" t="s">
        <v>79</v>
      </c>
      <c r="M1532" t="s">
        <v>72</v>
      </c>
      <c r="R1532" t="s">
        <v>8945</v>
      </c>
      <c r="W1532" t="s">
        <v>8944</v>
      </c>
      <c r="X1532" t="s">
        <v>8946</v>
      </c>
      <c r="Y1532" t="s">
        <v>188</v>
      </c>
      <c r="Z1532" t="s">
        <v>73</v>
      </c>
      <c r="AA1532" t="str">
        <f>"14092-1953"</f>
        <v>14092-1953</v>
      </c>
      <c r="AB1532" t="s">
        <v>74</v>
      </c>
      <c r="AC1532" t="s">
        <v>75</v>
      </c>
      <c r="AD1532" t="s">
        <v>72</v>
      </c>
      <c r="AE1532" t="s">
        <v>76</v>
      </c>
      <c r="AF1532" t="s">
        <v>3974</v>
      </c>
      <c r="AG1532" t="s">
        <v>77</v>
      </c>
    </row>
    <row r="1533" spans="1:33" x14ac:dyDescent="0.25">
      <c r="A1533" t="str">
        <f>"1568477214"</f>
        <v>1568477214</v>
      </c>
      <c r="B1533" t="str">
        <f>"01560663"</f>
        <v>01560663</v>
      </c>
      <c r="C1533" t="s">
        <v>8947</v>
      </c>
      <c r="D1533" t="s">
        <v>1657</v>
      </c>
      <c r="E1533" t="s">
        <v>1658</v>
      </c>
      <c r="G1533" t="s">
        <v>8947</v>
      </c>
      <c r="H1533" t="s">
        <v>1659</v>
      </c>
      <c r="J1533" t="s">
        <v>8948</v>
      </c>
      <c r="L1533" t="s">
        <v>79</v>
      </c>
      <c r="M1533" t="s">
        <v>72</v>
      </c>
      <c r="R1533" t="s">
        <v>1660</v>
      </c>
      <c r="W1533" t="s">
        <v>1658</v>
      </c>
      <c r="Y1533" t="s">
        <v>117</v>
      </c>
      <c r="Z1533" t="s">
        <v>73</v>
      </c>
      <c r="AA1533" t="str">
        <f>"14215-1145"</f>
        <v>14215-1145</v>
      </c>
      <c r="AB1533" t="s">
        <v>74</v>
      </c>
      <c r="AC1533" t="s">
        <v>75</v>
      </c>
      <c r="AD1533" t="s">
        <v>72</v>
      </c>
      <c r="AE1533" t="s">
        <v>76</v>
      </c>
      <c r="AF1533" t="s">
        <v>3974</v>
      </c>
      <c r="AG1533" t="s">
        <v>77</v>
      </c>
    </row>
    <row r="1534" spans="1:33" x14ac:dyDescent="0.25">
      <c r="A1534" t="str">
        <f>"1982605879"</f>
        <v>1982605879</v>
      </c>
      <c r="B1534" t="str">
        <f>"03526978"</f>
        <v>03526978</v>
      </c>
      <c r="C1534" t="s">
        <v>8949</v>
      </c>
      <c r="D1534" t="s">
        <v>3644</v>
      </c>
      <c r="E1534" t="s">
        <v>3645</v>
      </c>
      <c r="G1534" t="s">
        <v>8950</v>
      </c>
      <c r="H1534" t="s">
        <v>8951</v>
      </c>
      <c r="J1534" t="s">
        <v>8952</v>
      </c>
      <c r="L1534" t="s">
        <v>79</v>
      </c>
      <c r="M1534" t="s">
        <v>72</v>
      </c>
      <c r="R1534" t="s">
        <v>3646</v>
      </c>
      <c r="W1534" t="s">
        <v>3645</v>
      </c>
      <c r="X1534" t="s">
        <v>1717</v>
      </c>
      <c r="Y1534" t="s">
        <v>221</v>
      </c>
      <c r="Z1534" t="s">
        <v>73</v>
      </c>
      <c r="AA1534" t="str">
        <f>"14221-4834"</f>
        <v>14221-4834</v>
      </c>
      <c r="AB1534" t="s">
        <v>74</v>
      </c>
      <c r="AC1534" t="s">
        <v>75</v>
      </c>
      <c r="AD1534" t="s">
        <v>72</v>
      </c>
      <c r="AE1534" t="s">
        <v>76</v>
      </c>
      <c r="AG1534" t="s">
        <v>77</v>
      </c>
    </row>
    <row r="1535" spans="1:33" x14ac:dyDescent="0.25">
      <c r="A1535" t="str">
        <f>"1700083276"</f>
        <v>1700083276</v>
      </c>
      <c r="B1535" t="str">
        <f>"02893401"</f>
        <v>02893401</v>
      </c>
      <c r="C1535" t="s">
        <v>8953</v>
      </c>
      <c r="D1535" t="s">
        <v>2906</v>
      </c>
      <c r="E1535" t="s">
        <v>2907</v>
      </c>
      <c r="G1535" t="s">
        <v>8954</v>
      </c>
      <c r="H1535" t="s">
        <v>8955</v>
      </c>
      <c r="J1535" t="s">
        <v>8956</v>
      </c>
      <c r="L1535" t="s">
        <v>79</v>
      </c>
      <c r="M1535" t="s">
        <v>72</v>
      </c>
      <c r="R1535" t="s">
        <v>2909</v>
      </c>
      <c r="W1535" t="s">
        <v>2907</v>
      </c>
      <c r="X1535" t="s">
        <v>301</v>
      </c>
      <c r="Y1535" t="s">
        <v>117</v>
      </c>
      <c r="Z1535" t="s">
        <v>73</v>
      </c>
      <c r="AA1535" t="str">
        <f>"14214-2648"</f>
        <v>14214-2648</v>
      </c>
      <c r="AB1535" t="s">
        <v>74</v>
      </c>
      <c r="AC1535" t="s">
        <v>75</v>
      </c>
      <c r="AD1535" t="s">
        <v>72</v>
      </c>
      <c r="AE1535" t="s">
        <v>76</v>
      </c>
      <c r="AF1535" t="s">
        <v>3961</v>
      </c>
      <c r="AG1535" t="s">
        <v>77</v>
      </c>
    </row>
    <row r="1536" spans="1:33" x14ac:dyDescent="0.25">
      <c r="A1536" t="str">
        <f>"1114168499"</f>
        <v>1114168499</v>
      </c>
      <c r="B1536" t="str">
        <f>"03480999"</f>
        <v>03480999</v>
      </c>
      <c r="C1536" t="s">
        <v>8957</v>
      </c>
      <c r="D1536" t="s">
        <v>8958</v>
      </c>
      <c r="E1536" t="s">
        <v>8959</v>
      </c>
      <c r="G1536" t="s">
        <v>7104</v>
      </c>
      <c r="H1536" t="s">
        <v>7105</v>
      </c>
      <c r="J1536" t="s">
        <v>7106</v>
      </c>
      <c r="L1536" t="s">
        <v>80</v>
      </c>
      <c r="M1536" t="s">
        <v>72</v>
      </c>
      <c r="R1536" t="s">
        <v>3931</v>
      </c>
      <c r="W1536" t="s">
        <v>8960</v>
      </c>
      <c r="X1536" t="s">
        <v>5884</v>
      </c>
      <c r="Y1536" t="s">
        <v>326</v>
      </c>
      <c r="Z1536" t="s">
        <v>73</v>
      </c>
      <c r="AA1536" t="str">
        <f>"14127-1705"</f>
        <v>14127-1705</v>
      </c>
      <c r="AB1536" t="s">
        <v>74</v>
      </c>
      <c r="AC1536" t="s">
        <v>75</v>
      </c>
      <c r="AD1536" t="s">
        <v>72</v>
      </c>
      <c r="AE1536" t="s">
        <v>76</v>
      </c>
      <c r="AF1536" t="s">
        <v>3961</v>
      </c>
      <c r="AG1536" t="s">
        <v>77</v>
      </c>
    </row>
    <row r="1537" spans="1:33" x14ac:dyDescent="0.25">
      <c r="A1537" t="str">
        <f>"1609838002"</f>
        <v>1609838002</v>
      </c>
      <c r="B1537" t="str">
        <f>"02711360"</f>
        <v>02711360</v>
      </c>
      <c r="C1537" t="s">
        <v>8961</v>
      </c>
      <c r="D1537" t="s">
        <v>8962</v>
      </c>
      <c r="E1537" t="s">
        <v>8963</v>
      </c>
      <c r="G1537" t="s">
        <v>5327</v>
      </c>
      <c r="H1537" t="s">
        <v>579</v>
      </c>
      <c r="J1537" t="s">
        <v>5328</v>
      </c>
      <c r="L1537" t="s">
        <v>79</v>
      </c>
      <c r="M1537" t="s">
        <v>72</v>
      </c>
      <c r="R1537" t="s">
        <v>8964</v>
      </c>
      <c r="W1537" t="s">
        <v>8965</v>
      </c>
      <c r="X1537" t="s">
        <v>1868</v>
      </c>
      <c r="Y1537" t="s">
        <v>221</v>
      </c>
      <c r="Z1537" t="s">
        <v>73</v>
      </c>
      <c r="AA1537" t="str">
        <f>"14221-7894"</f>
        <v>14221-7894</v>
      </c>
      <c r="AB1537" t="s">
        <v>74</v>
      </c>
      <c r="AC1537" t="s">
        <v>75</v>
      </c>
      <c r="AD1537" t="s">
        <v>72</v>
      </c>
      <c r="AE1537" t="s">
        <v>76</v>
      </c>
      <c r="AF1537" t="s">
        <v>3974</v>
      </c>
      <c r="AG1537" t="s">
        <v>77</v>
      </c>
    </row>
    <row r="1538" spans="1:33" x14ac:dyDescent="0.25">
      <c r="A1538" t="str">
        <f>"1245527688"</f>
        <v>1245527688</v>
      </c>
      <c r="B1538" t="str">
        <f>"03834306"</f>
        <v>03834306</v>
      </c>
      <c r="C1538" t="s">
        <v>8966</v>
      </c>
      <c r="D1538" t="s">
        <v>8967</v>
      </c>
      <c r="E1538" t="s">
        <v>8968</v>
      </c>
      <c r="L1538" t="s">
        <v>79</v>
      </c>
      <c r="M1538" t="s">
        <v>72</v>
      </c>
      <c r="R1538" t="s">
        <v>8969</v>
      </c>
      <c r="W1538" t="s">
        <v>8968</v>
      </c>
      <c r="X1538" t="s">
        <v>8970</v>
      </c>
      <c r="Y1538" t="s">
        <v>326</v>
      </c>
      <c r="Z1538" t="s">
        <v>73</v>
      </c>
      <c r="AA1538" t="str">
        <f>"14127-1752"</f>
        <v>14127-1752</v>
      </c>
      <c r="AB1538" t="s">
        <v>74</v>
      </c>
      <c r="AC1538" t="s">
        <v>75</v>
      </c>
      <c r="AD1538" t="s">
        <v>72</v>
      </c>
      <c r="AE1538" t="s">
        <v>76</v>
      </c>
      <c r="AF1538" t="s">
        <v>3961</v>
      </c>
      <c r="AG1538" t="s">
        <v>77</v>
      </c>
    </row>
    <row r="1539" spans="1:33" x14ac:dyDescent="0.25">
      <c r="A1539" t="str">
        <f>"1255438966"</f>
        <v>1255438966</v>
      </c>
      <c r="B1539" t="str">
        <f>"00801809"</f>
        <v>00801809</v>
      </c>
      <c r="C1539" t="s">
        <v>8971</v>
      </c>
      <c r="D1539" t="s">
        <v>2015</v>
      </c>
      <c r="E1539" t="s">
        <v>2016</v>
      </c>
      <c r="L1539" t="s">
        <v>97</v>
      </c>
      <c r="M1539" t="s">
        <v>81</v>
      </c>
      <c r="R1539" t="s">
        <v>2014</v>
      </c>
      <c r="W1539" t="s">
        <v>2016</v>
      </c>
      <c r="X1539" t="s">
        <v>2017</v>
      </c>
      <c r="Y1539" t="s">
        <v>117</v>
      </c>
      <c r="Z1539" t="s">
        <v>73</v>
      </c>
      <c r="AA1539" t="str">
        <f>"14220-2704"</f>
        <v>14220-2704</v>
      </c>
      <c r="AB1539" t="s">
        <v>98</v>
      </c>
      <c r="AC1539" t="s">
        <v>75</v>
      </c>
      <c r="AD1539" t="s">
        <v>72</v>
      </c>
      <c r="AE1539" t="s">
        <v>76</v>
      </c>
      <c r="AF1539" t="s">
        <v>4078</v>
      </c>
      <c r="AG1539" t="s">
        <v>77</v>
      </c>
    </row>
    <row r="1540" spans="1:33" x14ac:dyDescent="0.25">
      <c r="A1540" t="str">
        <f>"1447357157"</f>
        <v>1447357157</v>
      </c>
      <c r="B1540" t="str">
        <f>"00663456"</f>
        <v>00663456</v>
      </c>
      <c r="C1540" t="s">
        <v>8972</v>
      </c>
      <c r="D1540" t="s">
        <v>606</v>
      </c>
      <c r="E1540" t="s">
        <v>607</v>
      </c>
      <c r="L1540" t="s">
        <v>97</v>
      </c>
      <c r="M1540" t="s">
        <v>81</v>
      </c>
      <c r="R1540" t="s">
        <v>605</v>
      </c>
      <c r="W1540" t="s">
        <v>607</v>
      </c>
      <c r="X1540" t="s">
        <v>608</v>
      </c>
      <c r="Y1540" t="s">
        <v>221</v>
      </c>
      <c r="Z1540" t="s">
        <v>73</v>
      </c>
      <c r="AA1540" t="str">
        <f>"14221-6510"</f>
        <v>14221-6510</v>
      </c>
      <c r="AB1540" t="s">
        <v>98</v>
      </c>
      <c r="AC1540" t="s">
        <v>75</v>
      </c>
      <c r="AD1540" t="s">
        <v>72</v>
      </c>
      <c r="AE1540" t="s">
        <v>76</v>
      </c>
      <c r="AF1540" t="s">
        <v>4078</v>
      </c>
      <c r="AG1540" t="s">
        <v>77</v>
      </c>
    </row>
    <row r="1541" spans="1:33" x14ac:dyDescent="0.25">
      <c r="A1541" t="str">
        <f>"1780689299"</f>
        <v>1780689299</v>
      </c>
      <c r="C1541" t="s">
        <v>8973</v>
      </c>
      <c r="K1541" t="s">
        <v>89</v>
      </c>
      <c r="L1541" t="s">
        <v>92</v>
      </c>
      <c r="M1541" t="s">
        <v>72</v>
      </c>
      <c r="R1541" t="s">
        <v>3880</v>
      </c>
      <c r="S1541" t="s">
        <v>2671</v>
      </c>
      <c r="T1541" t="s">
        <v>117</v>
      </c>
      <c r="U1541" t="s">
        <v>73</v>
      </c>
      <c r="V1541" t="str">
        <f>"142012161"</f>
        <v>142012161</v>
      </c>
      <c r="AC1541" t="s">
        <v>75</v>
      </c>
      <c r="AD1541" t="s">
        <v>72</v>
      </c>
      <c r="AE1541" t="s">
        <v>93</v>
      </c>
      <c r="AF1541" t="s">
        <v>4078</v>
      </c>
      <c r="AG1541" t="s">
        <v>77</v>
      </c>
    </row>
    <row r="1542" spans="1:33" x14ac:dyDescent="0.25">
      <c r="A1542" t="str">
        <f>"1053337865"</f>
        <v>1053337865</v>
      </c>
      <c r="B1542" t="str">
        <f>"01047974"</f>
        <v>01047974</v>
      </c>
      <c r="C1542" t="s">
        <v>8974</v>
      </c>
      <c r="D1542" t="s">
        <v>2157</v>
      </c>
      <c r="E1542" t="s">
        <v>2158</v>
      </c>
      <c r="G1542" t="s">
        <v>8975</v>
      </c>
      <c r="H1542" t="s">
        <v>2159</v>
      </c>
      <c r="I1542">
        <v>2494</v>
      </c>
      <c r="J1542" t="s">
        <v>8976</v>
      </c>
      <c r="L1542" t="s">
        <v>35</v>
      </c>
      <c r="M1542" t="s">
        <v>81</v>
      </c>
      <c r="R1542" t="s">
        <v>2160</v>
      </c>
      <c r="W1542" t="s">
        <v>2158</v>
      </c>
      <c r="X1542" t="s">
        <v>2161</v>
      </c>
      <c r="Y1542" t="s">
        <v>863</v>
      </c>
      <c r="Z1542" t="s">
        <v>73</v>
      </c>
      <c r="AA1542" t="str">
        <f>"14068-1527"</f>
        <v>14068-1527</v>
      </c>
      <c r="AB1542" t="s">
        <v>98</v>
      </c>
      <c r="AC1542" t="s">
        <v>75</v>
      </c>
      <c r="AD1542" t="s">
        <v>72</v>
      </c>
      <c r="AE1542" t="s">
        <v>76</v>
      </c>
      <c r="AF1542" t="s">
        <v>4078</v>
      </c>
      <c r="AG1542" t="s">
        <v>77</v>
      </c>
    </row>
    <row r="1543" spans="1:33" x14ac:dyDescent="0.25">
      <c r="A1543" t="str">
        <f>"1316048028"</f>
        <v>1316048028</v>
      </c>
      <c r="C1543" t="s">
        <v>8977</v>
      </c>
      <c r="G1543" t="s">
        <v>8975</v>
      </c>
      <c r="H1543" t="s">
        <v>2159</v>
      </c>
      <c r="I1543">
        <v>2494</v>
      </c>
      <c r="J1543" t="s">
        <v>8976</v>
      </c>
      <c r="K1543" t="s">
        <v>89</v>
      </c>
      <c r="L1543" t="s">
        <v>92</v>
      </c>
      <c r="M1543" t="s">
        <v>72</v>
      </c>
      <c r="R1543" t="s">
        <v>8978</v>
      </c>
      <c r="S1543" t="s">
        <v>2161</v>
      </c>
      <c r="T1543" t="s">
        <v>863</v>
      </c>
      <c r="U1543" t="s">
        <v>73</v>
      </c>
      <c r="V1543" t="str">
        <f>"140681527"</f>
        <v>140681527</v>
      </c>
      <c r="AC1543" t="s">
        <v>75</v>
      </c>
      <c r="AD1543" t="s">
        <v>72</v>
      </c>
      <c r="AE1543" t="s">
        <v>93</v>
      </c>
      <c r="AF1543" t="s">
        <v>4078</v>
      </c>
      <c r="AG1543" t="s">
        <v>77</v>
      </c>
    </row>
    <row r="1544" spans="1:33" x14ac:dyDescent="0.25">
      <c r="A1544" t="str">
        <f>"1891890893"</f>
        <v>1891890893</v>
      </c>
      <c r="C1544" t="s">
        <v>8979</v>
      </c>
      <c r="G1544" t="s">
        <v>8980</v>
      </c>
      <c r="H1544" t="s">
        <v>2159</v>
      </c>
      <c r="I1544">
        <v>2507</v>
      </c>
      <c r="J1544" t="s">
        <v>8976</v>
      </c>
      <c r="K1544" t="s">
        <v>89</v>
      </c>
      <c r="L1544" t="s">
        <v>92</v>
      </c>
      <c r="M1544" t="s">
        <v>72</v>
      </c>
      <c r="R1544" t="s">
        <v>8978</v>
      </c>
      <c r="S1544" t="s">
        <v>8981</v>
      </c>
      <c r="T1544" t="s">
        <v>863</v>
      </c>
      <c r="U1544" t="s">
        <v>73</v>
      </c>
      <c r="V1544" t="str">
        <f>"140681556"</f>
        <v>140681556</v>
      </c>
      <c r="AC1544" t="s">
        <v>75</v>
      </c>
      <c r="AD1544" t="s">
        <v>72</v>
      </c>
      <c r="AE1544" t="s">
        <v>93</v>
      </c>
      <c r="AF1544" t="s">
        <v>4078</v>
      </c>
      <c r="AG1544" t="s">
        <v>77</v>
      </c>
    </row>
    <row r="1545" spans="1:33" x14ac:dyDescent="0.25">
      <c r="A1545" t="str">
        <f>"1336136274"</f>
        <v>1336136274</v>
      </c>
      <c r="B1545" t="str">
        <f>"01042479"</f>
        <v>01042479</v>
      </c>
      <c r="C1545" t="s">
        <v>8982</v>
      </c>
      <c r="D1545" t="s">
        <v>8983</v>
      </c>
      <c r="E1545" t="s">
        <v>8984</v>
      </c>
      <c r="G1545" t="s">
        <v>8985</v>
      </c>
      <c r="H1545" t="s">
        <v>8986</v>
      </c>
      <c r="L1545" t="s">
        <v>80</v>
      </c>
      <c r="M1545" t="s">
        <v>72</v>
      </c>
      <c r="R1545" t="s">
        <v>8987</v>
      </c>
      <c r="W1545" t="s">
        <v>8984</v>
      </c>
      <c r="X1545" t="s">
        <v>8988</v>
      </c>
      <c r="Y1545" t="s">
        <v>1467</v>
      </c>
      <c r="Z1545" t="s">
        <v>73</v>
      </c>
      <c r="AA1545" t="str">
        <f>"14772-1131"</f>
        <v>14772-1131</v>
      </c>
      <c r="AB1545" t="s">
        <v>74</v>
      </c>
      <c r="AC1545" t="s">
        <v>75</v>
      </c>
      <c r="AD1545" t="s">
        <v>72</v>
      </c>
      <c r="AE1545" t="s">
        <v>76</v>
      </c>
      <c r="AF1545" t="s">
        <v>7887</v>
      </c>
      <c r="AG1545" t="s">
        <v>77</v>
      </c>
    </row>
    <row r="1546" spans="1:33" x14ac:dyDescent="0.25">
      <c r="C1546" t="s">
        <v>3696</v>
      </c>
      <c r="G1546" t="s">
        <v>8989</v>
      </c>
      <c r="H1546" t="s">
        <v>3697</v>
      </c>
      <c r="I1546">
        <v>314</v>
      </c>
      <c r="J1546" t="s">
        <v>8990</v>
      </c>
      <c r="K1546" t="s">
        <v>89</v>
      </c>
      <c r="L1546" t="s">
        <v>90</v>
      </c>
      <c r="M1546" t="s">
        <v>72</v>
      </c>
      <c r="N1546" t="s">
        <v>3698</v>
      </c>
      <c r="O1546" t="s">
        <v>1101</v>
      </c>
      <c r="P1546" t="s">
        <v>73</v>
      </c>
      <c r="Q1546" t="str">
        <f>"14209"</f>
        <v>14209</v>
      </c>
      <c r="AC1546" t="s">
        <v>75</v>
      </c>
      <c r="AD1546" t="s">
        <v>72</v>
      </c>
      <c r="AE1546" t="s">
        <v>91</v>
      </c>
      <c r="AF1546" t="s">
        <v>4059</v>
      </c>
      <c r="AG1546" t="s">
        <v>77</v>
      </c>
    </row>
    <row r="1547" spans="1:33" x14ac:dyDescent="0.25">
      <c r="C1547" t="s">
        <v>8991</v>
      </c>
      <c r="G1547" t="s">
        <v>8992</v>
      </c>
      <c r="H1547" t="s">
        <v>8993</v>
      </c>
      <c r="J1547" t="s">
        <v>8994</v>
      </c>
      <c r="K1547" t="s">
        <v>89</v>
      </c>
      <c r="L1547" t="s">
        <v>90</v>
      </c>
      <c r="M1547" t="s">
        <v>72</v>
      </c>
      <c r="N1547" t="s">
        <v>8995</v>
      </c>
      <c r="O1547" t="s">
        <v>1101</v>
      </c>
      <c r="P1547" t="s">
        <v>73</v>
      </c>
      <c r="Q1547" t="str">
        <f>"14216"</f>
        <v>14216</v>
      </c>
      <c r="AC1547" t="s">
        <v>75</v>
      </c>
      <c r="AD1547" t="s">
        <v>72</v>
      </c>
      <c r="AE1547" t="s">
        <v>91</v>
      </c>
      <c r="AF1547" t="s">
        <v>4059</v>
      </c>
      <c r="AG1547" t="s">
        <v>77</v>
      </c>
    </row>
    <row r="1548" spans="1:33" x14ac:dyDescent="0.25">
      <c r="A1548" t="str">
        <f>"1356661185"</f>
        <v>1356661185</v>
      </c>
      <c r="B1548" t="str">
        <f>"03921717"</f>
        <v>03921717</v>
      </c>
      <c r="C1548" t="s">
        <v>8996</v>
      </c>
      <c r="D1548" t="s">
        <v>2658</v>
      </c>
      <c r="E1548" t="s">
        <v>2659</v>
      </c>
      <c r="L1548" t="s">
        <v>71</v>
      </c>
      <c r="M1548" t="s">
        <v>72</v>
      </c>
      <c r="R1548" t="s">
        <v>2659</v>
      </c>
      <c r="W1548" t="s">
        <v>2659</v>
      </c>
      <c r="X1548" t="s">
        <v>204</v>
      </c>
      <c r="Y1548" t="s">
        <v>117</v>
      </c>
      <c r="Z1548" t="s">
        <v>73</v>
      </c>
      <c r="AA1548" t="str">
        <f>"14263-0001"</f>
        <v>14263-0001</v>
      </c>
      <c r="AB1548" t="s">
        <v>74</v>
      </c>
      <c r="AC1548" t="s">
        <v>75</v>
      </c>
      <c r="AD1548" t="s">
        <v>72</v>
      </c>
      <c r="AE1548" t="s">
        <v>76</v>
      </c>
      <c r="AF1548" t="s">
        <v>4043</v>
      </c>
      <c r="AG1548" t="s">
        <v>77</v>
      </c>
    </row>
    <row r="1549" spans="1:33" x14ac:dyDescent="0.25">
      <c r="A1549" t="str">
        <f>"1295726990"</f>
        <v>1295726990</v>
      </c>
      <c r="B1549" t="str">
        <f>"01183875"</f>
        <v>01183875</v>
      </c>
      <c r="C1549" t="s">
        <v>8997</v>
      </c>
      <c r="D1549" t="s">
        <v>8998</v>
      </c>
      <c r="E1549" t="s">
        <v>8999</v>
      </c>
      <c r="L1549" t="s">
        <v>79</v>
      </c>
      <c r="M1549" t="s">
        <v>72</v>
      </c>
      <c r="R1549" t="s">
        <v>9000</v>
      </c>
      <c r="W1549" t="s">
        <v>8999</v>
      </c>
      <c r="X1549" t="s">
        <v>1234</v>
      </c>
      <c r="Y1549" t="s">
        <v>117</v>
      </c>
      <c r="Z1549" t="s">
        <v>73</v>
      </c>
      <c r="AA1549" t="str">
        <f>"14263-0001"</f>
        <v>14263-0001</v>
      </c>
      <c r="AB1549" t="s">
        <v>74</v>
      </c>
      <c r="AC1549" t="s">
        <v>75</v>
      </c>
      <c r="AD1549" t="s">
        <v>72</v>
      </c>
      <c r="AE1549" t="s">
        <v>76</v>
      </c>
      <c r="AF1549" t="s">
        <v>4043</v>
      </c>
      <c r="AG1549" t="s">
        <v>77</v>
      </c>
    </row>
    <row r="1550" spans="1:33" x14ac:dyDescent="0.25">
      <c r="A1550" t="str">
        <f>"1982838835"</f>
        <v>1982838835</v>
      </c>
      <c r="B1550" t="str">
        <f>"03836353"</f>
        <v>03836353</v>
      </c>
      <c r="C1550" t="s">
        <v>9001</v>
      </c>
      <c r="D1550" t="s">
        <v>3668</v>
      </c>
      <c r="E1550" t="s">
        <v>3669</v>
      </c>
      <c r="L1550" t="s">
        <v>79</v>
      </c>
      <c r="M1550" t="s">
        <v>72</v>
      </c>
      <c r="R1550" t="s">
        <v>3670</v>
      </c>
      <c r="W1550" t="s">
        <v>3669</v>
      </c>
      <c r="X1550" t="s">
        <v>173</v>
      </c>
      <c r="Y1550" t="s">
        <v>117</v>
      </c>
      <c r="Z1550" t="s">
        <v>73</v>
      </c>
      <c r="AA1550" t="str">
        <f>"14222-2006"</f>
        <v>14222-2006</v>
      </c>
      <c r="AB1550" t="s">
        <v>74</v>
      </c>
      <c r="AC1550" t="s">
        <v>75</v>
      </c>
      <c r="AD1550" t="s">
        <v>72</v>
      </c>
      <c r="AE1550" t="s">
        <v>76</v>
      </c>
      <c r="AF1550" t="s">
        <v>4043</v>
      </c>
      <c r="AG1550" t="s">
        <v>77</v>
      </c>
    </row>
    <row r="1551" spans="1:33" x14ac:dyDescent="0.25">
      <c r="A1551" t="str">
        <f>"1972553287"</f>
        <v>1972553287</v>
      </c>
      <c r="B1551" t="str">
        <f>"03264606"</f>
        <v>03264606</v>
      </c>
      <c r="C1551" t="s">
        <v>9002</v>
      </c>
      <c r="D1551" t="s">
        <v>9003</v>
      </c>
      <c r="E1551" t="s">
        <v>9004</v>
      </c>
      <c r="L1551" t="s">
        <v>79</v>
      </c>
      <c r="M1551" t="s">
        <v>72</v>
      </c>
      <c r="R1551" t="s">
        <v>9005</v>
      </c>
      <c r="W1551" t="s">
        <v>9006</v>
      </c>
      <c r="X1551" t="s">
        <v>204</v>
      </c>
      <c r="Y1551" t="s">
        <v>117</v>
      </c>
      <c r="Z1551" t="s">
        <v>73</v>
      </c>
      <c r="AA1551" t="str">
        <f>"14263-0001"</f>
        <v>14263-0001</v>
      </c>
      <c r="AB1551" t="s">
        <v>74</v>
      </c>
      <c r="AC1551" t="s">
        <v>75</v>
      </c>
      <c r="AD1551" t="s">
        <v>72</v>
      </c>
      <c r="AE1551" t="s">
        <v>76</v>
      </c>
      <c r="AF1551" t="s">
        <v>4043</v>
      </c>
      <c r="AG1551" t="s">
        <v>77</v>
      </c>
    </row>
    <row r="1552" spans="1:33" x14ac:dyDescent="0.25">
      <c r="A1552" t="str">
        <f>"1710112388"</f>
        <v>1710112388</v>
      </c>
      <c r="B1552" t="str">
        <f>"03993717"</f>
        <v>03993717</v>
      </c>
      <c r="C1552" t="s">
        <v>9007</v>
      </c>
      <c r="D1552" t="s">
        <v>9008</v>
      </c>
      <c r="E1552" t="s">
        <v>9009</v>
      </c>
      <c r="L1552" t="s">
        <v>92</v>
      </c>
      <c r="M1552" t="s">
        <v>72</v>
      </c>
      <c r="R1552" t="s">
        <v>9009</v>
      </c>
      <c r="W1552" t="s">
        <v>9009</v>
      </c>
      <c r="X1552" t="s">
        <v>620</v>
      </c>
      <c r="Y1552" t="s">
        <v>117</v>
      </c>
      <c r="Z1552" t="s">
        <v>73</v>
      </c>
      <c r="AA1552" t="str">
        <f>"14267-0002"</f>
        <v>14267-0002</v>
      </c>
      <c r="AB1552" t="s">
        <v>74</v>
      </c>
      <c r="AC1552" t="s">
        <v>75</v>
      </c>
      <c r="AD1552" t="s">
        <v>72</v>
      </c>
      <c r="AE1552" t="s">
        <v>76</v>
      </c>
      <c r="AF1552" t="s">
        <v>4043</v>
      </c>
      <c r="AG1552" t="s">
        <v>77</v>
      </c>
    </row>
    <row r="1553" spans="1:33" x14ac:dyDescent="0.25">
      <c r="A1553" t="str">
        <f>"1639323850"</f>
        <v>1639323850</v>
      </c>
      <c r="B1553" t="str">
        <f>"03245181"</f>
        <v>03245181</v>
      </c>
      <c r="C1553" t="s">
        <v>9010</v>
      </c>
      <c r="D1553" t="s">
        <v>9011</v>
      </c>
      <c r="E1553" t="s">
        <v>9012</v>
      </c>
      <c r="L1553" t="s">
        <v>79</v>
      </c>
      <c r="M1553" t="s">
        <v>72</v>
      </c>
      <c r="R1553" t="s">
        <v>9013</v>
      </c>
      <c r="W1553" t="s">
        <v>9012</v>
      </c>
      <c r="X1553" t="s">
        <v>204</v>
      </c>
      <c r="Y1553" t="s">
        <v>117</v>
      </c>
      <c r="Z1553" t="s">
        <v>73</v>
      </c>
      <c r="AA1553" t="str">
        <f t="shared" ref="AA1553:AA1559" si="13">"14263-0001"</f>
        <v>14263-0001</v>
      </c>
      <c r="AB1553" t="s">
        <v>74</v>
      </c>
      <c r="AC1553" t="s">
        <v>75</v>
      </c>
      <c r="AD1553" t="s">
        <v>72</v>
      </c>
      <c r="AE1553" t="s">
        <v>76</v>
      </c>
      <c r="AF1553" t="s">
        <v>4043</v>
      </c>
      <c r="AG1553" t="s">
        <v>77</v>
      </c>
    </row>
    <row r="1554" spans="1:33" x14ac:dyDescent="0.25">
      <c r="A1554" t="str">
        <f>"1164403770"</f>
        <v>1164403770</v>
      </c>
      <c r="B1554" t="str">
        <f>"01991299"</f>
        <v>01991299</v>
      </c>
      <c r="C1554" t="s">
        <v>9014</v>
      </c>
      <c r="D1554" t="s">
        <v>2135</v>
      </c>
      <c r="E1554" t="s">
        <v>2136</v>
      </c>
      <c r="L1554" t="s">
        <v>79</v>
      </c>
      <c r="M1554" t="s">
        <v>72</v>
      </c>
      <c r="R1554" t="s">
        <v>2136</v>
      </c>
      <c r="W1554" t="s">
        <v>2136</v>
      </c>
      <c r="X1554" t="s">
        <v>2137</v>
      </c>
      <c r="Y1554" t="s">
        <v>117</v>
      </c>
      <c r="Z1554" t="s">
        <v>73</v>
      </c>
      <c r="AA1554" t="str">
        <f t="shared" si="13"/>
        <v>14263-0001</v>
      </c>
      <c r="AB1554" t="s">
        <v>74</v>
      </c>
      <c r="AC1554" t="s">
        <v>75</v>
      </c>
      <c r="AD1554" t="s">
        <v>72</v>
      </c>
      <c r="AE1554" t="s">
        <v>76</v>
      </c>
      <c r="AF1554" t="s">
        <v>4043</v>
      </c>
      <c r="AG1554" t="s">
        <v>77</v>
      </c>
    </row>
    <row r="1555" spans="1:33" x14ac:dyDescent="0.25">
      <c r="A1555" t="str">
        <f>"1043201411"</f>
        <v>1043201411</v>
      </c>
      <c r="B1555" t="str">
        <f>"02315864"</f>
        <v>02315864</v>
      </c>
      <c r="C1555" t="s">
        <v>9015</v>
      </c>
      <c r="D1555" t="s">
        <v>2806</v>
      </c>
      <c r="E1555" t="s">
        <v>2807</v>
      </c>
      <c r="L1555" t="s">
        <v>79</v>
      </c>
      <c r="M1555" t="s">
        <v>72</v>
      </c>
      <c r="R1555" t="s">
        <v>2808</v>
      </c>
      <c r="W1555" t="s">
        <v>2809</v>
      </c>
      <c r="X1555" t="s">
        <v>204</v>
      </c>
      <c r="Y1555" t="s">
        <v>117</v>
      </c>
      <c r="Z1555" t="s">
        <v>73</v>
      </c>
      <c r="AA1555" t="str">
        <f t="shared" si="13"/>
        <v>14263-0001</v>
      </c>
      <c r="AB1555" t="s">
        <v>74</v>
      </c>
      <c r="AC1555" t="s">
        <v>75</v>
      </c>
      <c r="AD1555" t="s">
        <v>72</v>
      </c>
      <c r="AE1555" t="s">
        <v>76</v>
      </c>
      <c r="AF1555" t="s">
        <v>4043</v>
      </c>
      <c r="AG1555" t="s">
        <v>77</v>
      </c>
    </row>
    <row r="1556" spans="1:33" x14ac:dyDescent="0.25">
      <c r="A1556" t="str">
        <f>"1407847825"</f>
        <v>1407847825</v>
      </c>
      <c r="B1556" t="str">
        <f>"01436002"</f>
        <v>01436002</v>
      </c>
      <c r="C1556" t="s">
        <v>9016</v>
      </c>
      <c r="D1556" t="s">
        <v>9017</v>
      </c>
      <c r="E1556" t="s">
        <v>9018</v>
      </c>
      <c r="L1556" t="s">
        <v>79</v>
      </c>
      <c r="M1556" t="s">
        <v>72</v>
      </c>
      <c r="R1556" t="s">
        <v>9019</v>
      </c>
      <c r="W1556" t="s">
        <v>9018</v>
      </c>
      <c r="X1556" t="s">
        <v>3011</v>
      </c>
      <c r="Y1556" t="s">
        <v>117</v>
      </c>
      <c r="Z1556" t="s">
        <v>73</v>
      </c>
      <c r="AA1556" t="str">
        <f t="shared" si="13"/>
        <v>14263-0001</v>
      </c>
      <c r="AB1556" t="s">
        <v>74</v>
      </c>
      <c r="AC1556" t="s">
        <v>75</v>
      </c>
      <c r="AD1556" t="s">
        <v>72</v>
      </c>
      <c r="AE1556" t="s">
        <v>76</v>
      </c>
      <c r="AF1556" t="s">
        <v>4043</v>
      </c>
      <c r="AG1556" t="s">
        <v>77</v>
      </c>
    </row>
    <row r="1557" spans="1:33" x14ac:dyDescent="0.25">
      <c r="A1557" t="str">
        <f>"1588649412"</f>
        <v>1588649412</v>
      </c>
      <c r="B1557" t="str">
        <f>"01728858"</f>
        <v>01728858</v>
      </c>
      <c r="C1557" t="s">
        <v>9020</v>
      </c>
      <c r="D1557" t="s">
        <v>9021</v>
      </c>
      <c r="E1557" t="s">
        <v>9022</v>
      </c>
      <c r="L1557" t="s">
        <v>79</v>
      </c>
      <c r="M1557" t="s">
        <v>72</v>
      </c>
      <c r="R1557" t="s">
        <v>9023</v>
      </c>
      <c r="W1557" t="s">
        <v>9024</v>
      </c>
      <c r="X1557" t="s">
        <v>204</v>
      </c>
      <c r="Y1557" t="s">
        <v>117</v>
      </c>
      <c r="Z1557" t="s">
        <v>73</v>
      </c>
      <c r="AA1557" t="str">
        <f t="shared" si="13"/>
        <v>14263-0001</v>
      </c>
      <c r="AB1557" t="s">
        <v>74</v>
      </c>
      <c r="AC1557" t="s">
        <v>75</v>
      </c>
      <c r="AD1557" t="s">
        <v>72</v>
      </c>
      <c r="AE1557" t="s">
        <v>76</v>
      </c>
      <c r="AF1557" t="s">
        <v>4043</v>
      </c>
      <c r="AG1557" t="s">
        <v>77</v>
      </c>
    </row>
    <row r="1558" spans="1:33" x14ac:dyDescent="0.25">
      <c r="A1558" t="str">
        <f>"1699182253"</f>
        <v>1699182253</v>
      </c>
      <c r="B1558" t="str">
        <f>"04100634"</f>
        <v>04100634</v>
      </c>
      <c r="C1558" t="s">
        <v>9025</v>
      </c>
      <c r="D1558" t="s">
        <v>9026</v>
      </c>
      <c r="E1558" t="s">
        <v>9027</v>
      </c>
      <c r="L1558" t="s">
        <v>92</v>
      </c>
      <c r="M1558" t="s">
        <v>72</v>
      </c>
      <c r="R1558" t="s">
        <v>9027</v>
      </c>
      <c r="W1558" t="s">
        <v>9027</v>
      </c>
      <c r="X1558" t="s">
        <v>9028</v>
      </c>
      <c r="Y1558" t="s">
        <v>117</v>
      </c>
      <c r="Z1558" t="s">
        <v>73</v>
      </c>
      <c r="AA1558" t="str">
        <f t="shared" si="13"/>
        <v>14263-0001</v>
      </c>
      <c r="AB1558" t="s">
        <v>74</v>
      </c>
      <c r="AC1558" t="s">
        <v>75</v>
      </c>
      <c r="AD1558" t="s">
        <v>72</v>
      </c>
      <c r="AE1558" t="s">
        <v>76</v>
      </c>
      <c r="AF1558" t="s">
        <v>4043</v>
      </c>
      <c r="AG1558" t="s">
        <v>77</v>
      </c>
    </row>
    <row r="1559" spans="1:33" x14ac:dyDescent="0.25">
      <c r="A1559" t="str">
        <f>"1689886962"</f>
        <v>1689886962</v>
      </c>
      <c r="B1559" t="str">
        <f>"03807352"</f>
        <v>03807352</v>
      </c>
      <c r="C1559" t="s">
        <v>9029</v>
      </c>
      <c r="D1559" t="s">
        <v>9030</v>
      </c>
      <c r="E1559" t="s">
        <v>9031</v>
      </c>
      <c r="L1559" t="s">
        <v>79</v>
      </c>
      <c r="M1559" t="s">
        <v>72</v>
      </c>
      <c r="R1559" t="s">
        <v>9031</v>
      </c>
      <c r="W1559" t="s">
        <v>9032</v>
      </c>
      <c r="X1559" t="s">
        <v>204</v>
      </c>
      <c r="Y1559" t="s">
        <v>117</v>
      </c>
      <c r="Z1559" t="s">
        <v>73</v>
      </c>
      <c r="AA1559" t="str">
        <f t="shared" si="13"/>
        <v>14263-0001</v>
      </c>
      <c r="AB1559" t="s">
        <v>74</v>
      </c>
      <c r="AC1559" t="s">
        <v>75</v>
      </c>
      <c r="AD1559" t="s">
        <v>72</v>
      </c>
      <c r="AE1559" t="s">
        <v>76</v>
      </c>
      <c r="AF1559" t="s">
        <v>4043</v>
      </c>
      <c r="AG1559" t="s">
        <v>77</v>
      </c>
    </row>
    <row r="1560" spans="1:33" x14ac:dyDescent="0.25">
      <c r="A1560" t="str">
        <f>"1013950138"</f>
        <v>1013950138</v>
      </c>
      <c r="B1560" t="str">
        <f>"01740436"</f>
        <v>01740436</v>
      </c>
      <c r="C1560" t="s">
        <v>363</v>
      </c>
      <c r="D1560" t="s">
        <v>361</v>
      </c>
      <c r="E1560" t="s">
        <v>362</v>
      </c>
      <c r="L1560" t="s">
        <v>79</v>
      </c>
      <c r="M1560" t="s">
        <v>72</v>
      </c>
      <c r="R1560" t="s">
        <v>363</v>
      </c>
      <c r="W1560" t="s">
        <v>362</v>
      </c>
      <c r="X1560" t="s">
        <v>364</v>
      </c>
      <c r="Y1560" t="s">
        <v>233</v>
      </c>
      <c r="Z1560" t="s">
        <v>73</v>
      </c>
      <c r="AA1560" t="str">
        <f>"11953-2505"</f>
        <v>11953-2505</v>
      </c>
      <c r="AB1560" t="s">
        <v>74</v>
      </c>
      <c r="AC1560" t="s">
        <v>75</v>
      </c>
      <c r="AD1560" t="s">
        <v>72</v>
      </c>
      <c r="AE1560" t="s">
        <v>76</v>
      </c>
      <c r="AG1560" t="s">
        <v>77</v>
      </c>
    </row>
    <row r="1561" spans="1:33" x14ac:dyDescent="0.25">
      <c r="A1561" t="str">
        <f>"1962428110"</f>
        <v>1962428110</v>
      </c>
      <c r="B1561" t="str">
        <f>"00640253"</f>
        <v>00640253</v>
      </c>
      <c r="C1561" t="s">
        <v>9033</v>
      </c>
      <c r="D1561" t="s">
        <v>9034</v>
      </c>
      <c r="E1561" t="s">
        <v>9035</v>
      </c>
      <c r="L1561" t="s">
        <v>79</v>
      </c>
      <c r="M1561" t="s">
        <v>72</v>
      </c>
      <c r="R1561" t="s">
        <v>9033</v>
      </c>
      <c r="W1561" t="s">
        <v>9035</v>
      </c>
      <c r="X1561" t="s">
        <v>241</v>
      </c>
      <c r="Y1561" t="s">
        <v>242</v>
      </c>
      <c r="Z1561" t="s">
        <v>73</v>
      </c>
      <c r="AA1561" t="str">
        <f>"14701-6820"</f>
        <v>14701-6820</v>
      </c>
      <c r="AB1561" t="s">
        <v>74</v>
      </c>
      <c r="AC1561" t="s">
        <v>75</v>
      </c>
      <c r="AD1561" t="s">
        <v>72</v>
      </c>
      <c r="AE1561" t="s">
        <v>76</v>
      </c>
      <c r="AF1561" t="s">
        <v>7966</v>
      </c>
      <c r="AG1561" t="s">
        <v>77</v>
      </c>
    </row>
    <row r="1562" spans="1:33" x14ac:dyDescent="0.25">
      <c r="A1562" t="str">
        <f>"1497047393"</f>
        <v>1497047393</v>
      </c>
      <c r="B1562" t="str">
        <f>"03688108"</f>
        <v>03688108</v>
      </c>
      <c r="C1562" t="s">
        <v>9036</v>
      </c>
      <c r="D1562" t="s">
        <v>9037</v>
      </c>
      <c r="E1562" t="s">
        <v>9038</v>
      </c>
      <c r="H1562" t="s">
        <v>9039</v>
      </c>
      <c r="L1562" t="s">
        <v>71</v>
      </c>
      <c r="M1562" t="s">
        <v>72</v>
      </c>
      <c r="R1562" t="s">
        <v>9036</v>
      </c>
      <c r="W1562" t="s">
        <v>9040</v>
      </c>
      <c r="X1562" t="s">
        <v>234</v>
      </c>
      <c r="Y1562" t="s">
        <v>117</v>
      </c>
      <c r="Z1562" t="s">
        <v>73</v>
      </c>
      <c r="AA1562" t="str">
        <f>"14220-2039"</f>
        <v>14220-2039</v>
      </c>
      <c r="AB1562" t="s">
        <v>74</v>
      </c>
      <c r="AC1562" t="s">
        <v>75</v>
      </c>
      <c r="AD1562" t="s">
        <v>72</v>
      </c>
      <c r="AE1562" t="s">
        <v>76</v>
      </c>
      <c r="AF1562" t="s">
        <v>3974</v>
      </c>
      <c r="AG1562" t="s">
        <v>77</v>
      </c>
    </row>
    <row r="1563" spans="1:33" x14ac:dyDescent="0.25">
      <c r="A1563" t="str">
        <f>"1346290749"</f>
        <v>1346290749</v>
      </c>
      <c r="B1563" t="str">
        <f>"01685318"</f>
        <v>01685318</v>
      </c>
      <c r="C1563" t="s">
        <v>9041</v>
      </c>
      <c r="D1563" t="s">
        <v>9042</v>
      </c>
      <c r="E1563" t="s">
        <v>9043</v>
      </c>
      <c r="L1563" t="s">
        <v>79</v>
      </c>
      <c r="M1563" t="s">
        <v>72</v>
      </c>
      <c r="R1563" t="s">
        <v>9041</v>
      </c>
      <c r="W1563" t="s">
        <v>9044</v>
      </c>
      <c r="X1563" t="s">
        <v>9045</v>
      </c>
      <c r="Y1563" t="s">
        <v>111</v>
      </c>
      <c r="Z1563" t="s">
        <v>73</v>
      </c>
      <c r="AA1563" t="str">
        <f>"14623-1605"</f>
        <v>14623-1605</v>
      </c>
      <c r="AB1563" t="s">
        <v>74</v>
      </c>
      <c r="AC1563" t="s">
        <v>75</v>
      </c>
      <c r="AD1563" t="s">
        <v>72</v>
      </c>
      <c r="AE1563" t="s">
        <v>76</v>
      </c>
      <c r="AG1563" t="s">
        <v>77</v>
      </c>
    </row>
    <row r="1564" spans="1:33" x14ac:dyDescent="0.25">
      <c r="A1564" t="str">
        <f>"1255497350"</f>
        <v>1255497350</v>
      </c>
      <c r="B1564" t="str">
        <f>"00392163"</f>
        <v>00392163</v>
      </c>
      <c r="C1564" t="s">
        <v>9046</v>
      </c>
      <c r="D1564" t="s">
        <v>9047</v>
      </c>
      <c r="E1564" t="s">
        <v>9048</v>
      </c>
      <c r="L1564" t="s">
        <v>79</v>
      </c>
      <c r="M1564" t="s">
        <v>72</v>
      </c>
      <c r="W1564" t="s">
        <v>9046</v>
      </c>
      <c r="X1564" t="s">
        <v>173</v>
      </c>
      <c r="Y1564" t="s">
        <v>117</v>
      </c>
      <c r="Z1564" t="s">
        <v>73</v>
      </c>
      <c r="AA1564" t="str">
        <f>"14222-2006"</f>
        <v>14222-2006</v>
      </c>
      <c r="AB1564" t="s">
        <v>74</v>
      </c>
      <c r="AC1564" t="s">
        <v>75</v>
      </c>
      <c r="AD1564" t="s">
        <v>72</v>
      </c>
      <c r="AE1564" t="s">
        <v>76</v>
      </c>
      <c r="AF1564" t="s">
        <v>7966</v>
      </c>
      <c r="AG1564" t="s">
        <v>77</v>
      </c>
    </row>
    <row r="1565" spans="1:33" x14ac:dyDescent="0.25">
      <c r="A1565" t="str">
        <f>"1659456028"</f>
        <v>1659456028</v>
      </c>
      <c r="B1565" t="str">
        <f>"02858166"</f>
        <v>02858166</v>
      </c>
      <c r="C1565" t="s">
        <v>9049</v>
      </c>
      <c r="D1565" t="s">
        <v>9050</v>
      </c>
      <c r="E1565" t="s">
        <v>9051</v>
      </c>
      <c r="H1565" t="s">
        <v>3093</v>
      </c>
      <c r="L1565" t="s">
        <v>71</v>
      </c>
      <c r="M1565" t="s">
        <v>72</v>
      </c>
      <c r="R1565" t="s">
        <v>9049</v>
      </c>
      <c r="W1565" t="s">
        <v>9051</v>
      </c>
      <c r="X1565" t="s">
        <v>9052</v>
      </c>
      <c r="Y1565" t="s">
        <v>217</v>
      </c>
      <c r="Z1565" t="s">
        <v>73</v>
      </c>
      <c r="AA1565" t="str">
        <f>"14760-1858"</f>
        <v>14760-1858</v>
      </c>
      <c r="AB1565" t="s">
        <v>74</v>
      </c>
      <c r="AC1565" t="s">
        <v>75</v>
      </c>
      <c r="AD1565" t="s">
        <v>72</v>
      </c>
      <c r="AE1565" t="s">
        <v>76</v>
      </c>
      <c r="AG1565" t="s">
        <v>77</v>
      </c>
    </row>
    <row r="1566" spans="1:33" x14ac:dyDescent="0.25">
      <c r="A1566" t="str">
        <f>"1124098843"</f>
        <v>1124098843</v>
      </c>
      <c r="B1566" t="str">
        <f>"01660993"</f>
        <v>01660993</v>
      </c>
      <c r="C1566" t="s">
        <v>332</v>
      </c>
      <c r="D1566" t="s">
        <v>330</v>
      </c>
      <c r="E1566" t="s">
        <v>331</v>
      </c>
      <c r="H1566" t="s">
        <v>9053</v>
      </c>
      <c r="L1566" t="s">
        <v>71</v>
      </c>
      <c r="M1566" t="s">
        <v>72</v>
      </c>
      <c r="R1566" t="s">
        <v>332</v>
      </c>
      <c r="W1566" t="s">
        <v>331</v>
      </c>
      <c r="X1566" t="s">
        <v>286</v>
      </c>
      <c r="Y1566" t="s">
        <v>242</v>
      </c>
      <c r="Z1566" t="s">
        <v>73</v>
      </c>
      <c r="AA1566" t="str">
        <f>"14701-7077"</f>
        <v>14701-7077</v>
      </c>
      <c r="AB1566" t="s">
        <v>74</v>
      </c>
      <c r="AC1566" t="s">
        <v>75</v>
      </c>
      <c r="AD1566" t="s">
        <v>72</v>
      </c>
      <c r="AE1566" t="s">
        <v>76</v>
      </c>
      <c r="AF1566" t="s">
        <v>7966</v>
      </c>
      <c r="AG1566" t="s">
        <v>77</v>
      </c>
    </row>
    <row r="1567" spans="1:33" x14ac:dyDescent="0.25">
      <c r="A1567" t="str">
        <f>"1790866218"</f>
        <v>1790866218</v>
      </c>
      <c r="B1567" t="str">
        <f>"02108092"</f>
        <v>02108092</v>
      </c>
      <c r="C1567" t="s">
        <v>9054</v>
      </c>
      <c r="D1567" t="s">
        <v>9055</v>
      </c>
      <c r="E1567" t="s">
        <v>9056</v>
      </c>
      <c r="L1567" t="s">
        <v>79</v>
      </c>
      <c r="M1567" t="s">
        <v>72</v>
      </c>
      <c r="R1567" t="s">
        <v>9054</v>
      </c>
      <c r="W1567" t="s">
        <v>9054</v>
      </c>
      <c r="X1567" t="s">
        <v>222</v>
      </c>
      <c r="Y1567" t="s">
        <v>172</v>
      </c>
      <c r="Z1567" t="s">
        <v>73</v>
      </c>
      <c r="AA1567" t="str">
        <f>"13326-1301"</f>
        <v>13326-1301</v>
      </c>
      <c r="AB1567" t="s">
        <v>74</v>
      </c>
      <c r="AC1567" t="s">
        <v>75</v>
      </c>
      <c r="AD1567" t="s">
        <v>72</v>
      </c>
      <c r="AE1567" t="s">
        <v>76</v>
      </c>
      <c r="AF1567" t="s">
        <v>7966</v>
      </c>
      <c r="AG1567" t="s">
        <v>77</v>
      </c>
    </row>
    <row r="1568" spans="1:33" x14ac:dyDescent="0.25">
      <c r="A1568" t="str">
        <f>"1588612204"</f>
        <v>1588612204</v>
      </c>
      <c r="B1568" t="str">
        <f>"00730736"</f>
        <v>00730736</v>
      </c>
      <c r="C1568" t="s">
        <v>9057</v>
      </c>
      <c r="D1568" t="s">
        <v>9058</v>
      </c>
      <c r="E1568" t="s">
        <v>9059</v>
      </c>
      <c r="L1568" t="s">
        <v>71</v>
      </c>
      <c r="M1568" t="s">
        <v>72</v>
      </c>
      <c r="R1568" t="s">
        <v>9057</v>
      </c>
      <c r="W1568" t="s">
        <v>9060</v>
      </c>
      <c r="Y1568" t="s">
        <v>242</v>
      </c>
      <c r="Z1568" t="s">
        <v>73</v>
      </c>
      <c r="AA1568" t="str">
        <f>"14701-7096"</f>
        <v>14701-7096</v>
      </c>
      <c r="AB1568" t="s">
        <v>74</v>
      </c>
      <c r="AC1568" t="s">
        <v>75</v>
      </c>
      <c r="AD1568" t="s">
        <v>72</v>
      </c>
      <c r="AE1568" t="s">
        <v>76</v>
      </c>
      <c r="AF1568" t="s">
        <v>7966</v>
      </c>
      <c r="AG1568" t="s">
        <v>77</v>
      </c>
    </row>
    <row r="1569" spans="1:33" x14ac:dyDescent="0.25">
      <c r="A1569" t="str">
        <f>"1780673749"</f>
        <v>1780673749</v>
      </c>
      <c r="B1569" t="str">
        <f>"03292615"</f>
        <v>03292615</v>
      </c>
      <c r="C1569" t="s">
        <v>9061</v>
      </c>
      <c r="D1569" t="s">
        <v>9062</v>
      </c>
      <c r="E1569" t="s">
        <v>9063</v>
      </c>
      <c r="H1569" t="s">
        <v>8653</v>
      </c>
      <c r="L1569" t="s">
        <v>71</v>
      </c>
      <c r="M1569" t="s">
        <v>72</v>
      </c>
      <c r="R1569" t="s">
        <v>9061</v>
      </c>
      <c r="W1569" t="s">
        <v>9063</v>
      </c>
      <c r="X1569" t="s">
        <v>286</v>
      </c>
      <c r="Y1569" t="s">
        <v>242</v>
      </c>
      <c r="Z1569" t="s">
        <v>73</v>
      </c>
      <c r="AA1569" t="str">
        <f>"14701-7077"</f>
        <v>14701-7077</v>
      </c>
      <c r="AB1569" t="s">
        <v>74</v>
      </c>
      <c r="AC1569" t="s">
        <v>75</v>
      </c>
      <c r="AD1569" t="s">
        <v>72</v>
      </c>
      <c r="AE1569" t="s">
        <v>76</v>
      </c>
      <c r="AF1569" t="s">
        <v>7966</v>
      </c>
      <c r="AG1569" t="s">
        <v>77</v>
      </c>
    </row>
    <row r="1570" spans="1:33" x14ac:dyDescent="0.25">
      <c r="A1570" t="str">
        <f>"1629075114"</f>
        <v>1629075114</v>
      </c>
      <c r="B1570" t="str">
        <f>"02429578"</f>
        <v>02429578</v>
      </c>
      <c r="C1570" t="s">
        <v>9064</v>
      </c>
      <c r="D1570" t="s">
        <v>9065</v>
      </c>
      <c r="E1570" t="s">
        <v>9066</v>
      </c>
      <c r="L1570" t="s">
        <v>79</v>
      </c>
      <c r="M1570" t="s">
        <v>72</v>
      </c>
      <c r="R1570" t="s">
        <v>9064</v>
      </c>
      <c r="W1570" t="s">
        <v>9066</v>
      </c>
      <c r="X1570" t="s">
        <v>9067</v>
      </c>
      <c r="Y1570" t="s">
        <v>242</v>
      </c>
      <c r="Z1570" t="s">
        <v>73</v>
      </c>
      <c r="AA1570" t="str">
        <f>"14701"</f>
        <v>14701</v>
      </c>
      <c r="AB1570" t="s">
        <v>74</v>
      </c>
      <c r="AC1570" t="s">
        <v>75</v>
      </c>
      <c r="AD1570" t="s">
        <v>72</v>
      </c>
      <c r="AE1570" t="s">
        <v>76</v>
      </c>
      <c r="AF1570" t="s">
        <v>3974</v>
      </c>
      <c r="AG1570" t="s">
        <v>77</v>
      </c>
    </row>
    <row r="1571" spans="1:33" x14ac:dyDescent="0.25">
      <c r="A1571" t="str">
        <f>"1629157649"</f>
        <v>1629157649</v>
      </c>
      <c r="B1571" t="str">
        <f>"03091756"</f>
        <v>03091756</v>
      </c>
      <c r="C1571" t="s">
        <v>9068</v>
      </c>
      <c r="D1571" t="s">
        <v>9069</v>
      </c>
      <c r="E1571" t="s">
        <v>9070</v>
      </c>
      <c r="L1571" t="s">
        <v>79</v>
      </c>
      <c r="M1571" t="s">
        <v>72</v>
      </c>
      <c r="R1571" t="s">
        <v>9068</v>
      </c>
      <c r="W1571" t="s">
        <v>9070</v>
      </c>
      <c r="X1571" t="s">
        <v>185</v>
      </c>
      <c r="Y1571" t="s">
        <v>186</v>
      </c>
      <c r="Z1571" t="s">
        <v>73</v>
      </c>
      <c r="AA1571" t="str">
        <f>"14845-8301"</f>
        <v>14845-8301</v>
      </c>
      <c r="AB1571" t="s">
        <v>74</v>
      </c>
      <c r="AC1571" t="s">
        <v>75</v>
      </c>
      <c r="AD1571" t="s">
        <v>72</v>
      </c>
      <c r="AE1571" t="s">
        <v>76</v>
      </c>
      <c r="AG1571" t="s">
        <v>77</v>
      </c>
    </row>
    <row r="1572" spans="1:33" x14ac:dyDescent="0.25">
      <c r="A1572" t="str">
        <f>"1659688224"</f>
        <v>1659688224</v>
      </c>
      <c r="B1572" t="str">
        <f>"03841949"</f>
        <v>03841949</v>
      </c>
      <c r="C1572" t="s">
        <v>9071</v>
      </c>
      <c r="D1572" t="s">
        <v>9072</v>
      </c>
      <c r="E1572" t="s">
        <v>9073</v>
      </c>
      <c r="H1572" t="s">
        <v>8664</v>
      </c>
      <c r="L1572" t="s">
        <v>71</v>
      </c>
      <c r="M1572" t="s">
        <v>72</v>
      </c>
      <c r="R1572" t="s">
        <v>9071</v>
      </c>
      <c r="W1572" t="s">
        <v>9073</v>
      </c>
      <c r="X1572" t="s">
        <v>286</v>
      </c>
      <c r="Y1572" t="s">
        <v>242</v>
      </c>
      <c r="Z1572" t="s">
        <v>73</v>
      </c>
      <c r="AA1572" t="str">
        <f>"14701-7077"</f>
        <v>14701-7077</v>
      </c>
      <c r="AB1572" t="s">
        <v>74</v>
      </c>
      <c r="AC1572" t="s">
        <v>75</v>
      </c>
      <c r="AD1572" t="s">
        <v>72</v>
      </c>
      <c r="AE1572" t="s">
        <v>76</v>
      </c>
      <c r="AF1572" t="s">
        <v>7966</v>
      </c>
      <c r="AG1572" t="s">
        <v>77</v>
      </c>
    </row>
    <row r="1573" spans="1:33" x14ac:dyDescent="0.25">
      <c r="A1573" t="str">
        <f>"1437129103"</f>
        <v>1437129103</v>
      </c>
      <c r="B1573" t="str">
        <f>"01184596"</f>
        <v>01184596</v>
      </c>
      <c r="C1573" t="s">
        <v>9074</v>
      </c>
      <c r="D1573" t="s">
        <v>9075</v>
      </c>
      <c r="E1573" t="s">
        <v>9076</v>
      </c>
      <c r="H1573" t="s">
        <v>9053</v>
      </c>
      <c r="L1573" t="s">
        <v>79</v>
      </c>
      <c r="M1573" t="s">
        <v>72</v>
      </c>
      <c r="R1573" t="s">
        <v>9074</v>
      </c>
      <c r="W1573" t="s">
        <v>9076</v>
      </c>
      <c r="X1573" t="s">
        <v>9077</v>
      </c>
      <c r="Y1573" t="s">
        <v>438</v>
      </c>
      <c r="Z1573" t="s">
        <v>73</v>
      </c>
      <c r="AA1573" t="str">
        <f>"14070-1111"</f>
        <v>14070-1111</v>
      </c>
      <c r="AB1573" t="s">
        <v>74</v>
      </c>
      <c r="AC1573" t="s">
        <v>75</v>
      </c>
      <c r="AD1573" t="s">
        <v>72</v>
      </c>
      <c r="AE1573" t="s">
        <v>76</v>
      </c>
      <c r="AG1573" t="s">
        <v>77</v>
      </c>
    </row>
    <row r="1574" spans="1:33" x14ac:dyDescent="0.25">
      <c r="A1574" t="str">
        <f>"1952398935"</f>
        <v>1952398935</v>
      </c>
      <c r="B1574" t="str">
        <f>"01732503"</f>
        <v>01732503</v>
      </c>
      <c r="C1574" t="s">
        <v>9078</v>
      </c>
      <c r="D1574" t="s">
        <v>9079</v>
      </c>
      <c r="E1574" t="s">
        <v>9080</v>
      </c>
      <c r="L1574" t="s">
        <v>79</v>
      </c>
      <c r="M1574" t="s">
        <v>72</v>
      </c>
      <c r="R1574" t="s">
        <v>9078</v>
      </c>
      <c r="W1574" t="s">
        <v>9081</v>
      </c>
      <c r="X1574" t="s">
        <v>286</v>
      </c>
      <c r="Y1574" t="s">
        <v>242</v>
      </c>
      <c r="Z1574" t="s">
        <v>73</v>
      </c>
      <c r="AA1574" t="str">
        <f>"14701-7077"</f>
        <v>14701-7077</v>
      </c>
      <c r="AB1574" t="s">
        <v>74</v>
      </c>
      <c r="AC1574" t="s">
        <v>75</v>
      </c>
      <c r="AD1574" t="s">
        <v>72</v>
      </c>
      <c r="AE1574" t="s">
        <v>76</v>
      </c>
      <c r="AF1574" t="s">
        <v>7966</v>
      </c>
      <c r="AG1574" t="s">
        <v>77</v>
      </c>
    </row>
    <row r="1575" spans="1:33" x14ac:dyDescent="0.25">
      <c r="A1575" t="str">
        <f>"1497971865"</f>
        <v>1497971865</v>
      </c>
      <c r="B1575" t="str">
        <f>"03561511"</f>
        <v>03561511</v>
      </c>
      <c r="C1575" t="s">
        <v>9082</v>
      </c>
      <c r="D1575" t="s">
        <v>9083</v>
      </c>
      <c r="E1575" t="s">
        <v>9084</v>
      </c>
      <c r="H1575" t="s">
        <v>8653</v>
      </c>
      <c r="L1575" t="s">
        <v>71</v>
      </c>
      <c r="M1575" t="s">
        <v>72</v>
      </c>
      <c r="R1575" t="s">
        <v>9082</v>
      </c>
      <c r="W1575" t="s">
        <v>9084</v>
      </c>
      <c r="X1575" t="s">
        <v>286</v>
      </c>
      <c r="Y1575" t="s">
        <v>242</v>
      </c>
      <c r="Z1575" t="s">
        <v>73</v>
      </c>
      <c r="AA1575" t="str">
        <f>"14701-7077"</f>
        <v>14701-7077</v>
      </c>
      <c r="AB1575" t="s">
        <v>74</v>
      </c>
      <c r="AC1575" t="s">
        <v>75</v>
      </c>
      <c r="AD1575" t="s">
        <v>72</v>
      </c>
      <c r="AE1575" t="s">
        <v>76</v>
      </c>
      <c r="AF1575" t="s">
        <v>7966</v>
      </c>
      <c r="AG1575" t="s">
        <v>77</v>
      </c>
    </row>
    <row r="1576" spans="1:33" x14ac:dyDescent="0.25">
      <c r="A1576" t="str">
        <f>"1780621995"</f>
        <v>1780621995</v>
      </c>
      <c r="B1576" t="str">
        <f>"03314023"</f>
        <v>03314023</v>
      </c>
      <c r="C1576" t="s">
        <v>9085</v>
      </c>
      <c r="D1576" t="s">
        <v>9086</v>
      </c>
      <c r="E1576" t="s">
        <v>9087</v>
      </c>
      <c r="H1576" t="s">
        <v>9088</v>
      </c>
      <c r="L1576" t="s">
        <v>71</v>
      </c>
      <c r="M1576" t="s">
        <v>72</v>
      </c>
      <c r="R1576" t="s">
        <v>9085</v>
      </c>
      <c r="W1576" t="s">
        <v>9087</v>
      </c>
      <c r="X1576" t="s">
        <v>286</v>
      </c>
      <c r="Y1576" t="s">
        <v>242</v>
      </c>
      <c r="Z1576" t="s">
        <v>73</v>
      </c>
      <c r="AA1576" t="str">
        <f>"14701-7077"</f>
        <v>14701-7077</v>
      </c>
      <c r="AB1576" t="s">
        <v>105</v>
      </c>
      <c r="AC1576" t="s">
        <v>75</v>
      </c>
      <c r="AD1576" t="s">
        <v>72</v>
      </c>
      <c r="AE1576" t="s">
        <v>76</v>
      </c>
      <c r="AF1576" t="s">
        <v>7966</v>
      </c>
      <c r="AG1576" t="s">
        <v>77</v>
      </c>
    </row>
    <row r="1577" spans="1:33" x14ac:dyDescent="0.25">
      <c r="A1577" t="str">
        <f>"1982738175"</f>
        <v>1982738175</v>
      </c>
      <c r="B1577" t="str">
        <f>"03389920"</f>
        <v>03389920</v>
      </c>
      <c r="C1577" t="s">
        <v>9089</v>
      </c>
      <c r="D1577" t="s">
        <v>9090</v>
      </c>
      <c r="E1577" t="s">
        <v>9091</v>
      </c>
      <c r="L1577" t="s">
        <v>79</v>
      </c>
      <c r="M1577" t="s">
        <v>72</v>
      </c>
      <c r="R1577" t="s">
        <v>9089</v>
      </c>
      <c r="W1577" t="s">
        <v>9091</v>
      </c>
      <c r="X1577" t="s">
        <v>1683</v>
      </c>
      <c r="Y1577" t="s">
        <v>242</v>
      </c>
      <c r="Z1577" t="s">
        <v>73</v>
      </c>
      <c r="AA1577" t="str">
        <f>"14701-6440"</f>
        <v>14701-6440</v>
      </c>
      <c r="AB1577" t="s">
        <v>74</v>
      </c>
      <c r="AC1577" t="s">
        <v>75</v>
      </c>
      <c r="AD1577" t="s">
        <v>72</v>
      </c>
      <c r="AE1577" t="s">
        <v>76</v>
      </c>
      <c r="AF1577" t="s">
        <v>7966</v>
      </c>
      <c r="AG1577" t="s">
        <v>77</v>
      </c>
    </row>
    <row r="1578" spans="1:33" x14ac:dyDescent="0.25">
      <c r="A1578" t="str">
        <f>"1376890798"</f>
        <v>1376890798</v>
      </c>
      <c r="B1578" t="str">
        <f>"03496462"</f>
        <v>03496462</v>
      </c>
      <c r="C1578" t="s">
        <v>394</v>
      </c>
      <c r="D1578" t="s">
        <v>3614</v>
      </c>
      <c r="E1578" t="s">
        <v>3615</v>
      </c>
      <c r="G1578" t="s">
        <v>396</v>
      </c>
      <c r="H1578" t="s">
        <v>9092</v>
      </c>
      <c r="J1578" t="s">
        <v>398</v>
      </c>
      <c r="L1578" t="s">
        <v>10</v>
      </c>
      <c r="M1578" t="s">
        <v>72</v>
      </c>
      <c r="R1578" t="s">
        <v>3616</v>
      </c>
      <c r="W1578" t="s">
        <v>3615</v>
      </c>
      <c r="X1578" t="s">
        <v>581</v>
      </c>
      <c r="Y1578" t="s">
        <v>117</v>
      </c>
      <c r="Z1578" t="s">
        <v>73</v>
      </c>
      <c r="AA1578" t="str">
        <f>"14202-1309"</f>
        <v>14202-1309</v>
      </c>
      <c r="AB1578" t="s">
        <v>109</v>
      </c>
      <c r="AC1578" t="s">
        <v>75</v>
      </c>
      <c r="AD1578" t="s">
        <v>72</v>
      </c>
      <c r="AE1578" t="s">
        <v>76</v>
      </c>
      <c r="AF1578" t="s">
        <v>4879</v>
      </c>
      <c r="AG1578" t="s">
        <v>77</v>
      </c>
    </row>
    <row r="1579" spans="1:33" x14ac:dyDescent="0.25">
      <c r="A1579" t="str">
        <f>"1417121344"</f>
        <v>1417121344</v>
      </c>
      <c r="B1579" t="str">
        <f>"03005167"</f>
        <v>03005167</v>
      </c>
      <c r="C1579" t="s">
        <v>394</v>
      </c>
      <c r="D1579" t="s">
        <v>482</v>
      </c>
      <c r="E1579" t="s">
        <v>483</v>
      </c>
      <c r="G1579" t="s">
        <v>396</v>
      </c>
      <c r="H1579" t="s">
        <v>9093</v>
      </c>
      <c r="J1579" t="s">
        <v>398</v>
      </c>
      <c r="L1579" t="s">
        <v>122</v>
      </c>
      <c r="M1579" t="s">
        <v>81</v>
      </c>
      <c r="R1579" t="s">
        <v>3619</v>
      </c>
      <c r="W1579" t="s">
        <v>483</v>
      </c>
      <c r="X1579" t="s">
        <v>485</v>
      </c>
      <c r="Y1579" t="s">
        <v>117</v>
      </c>
      <c r="Z1579" t="s">
        <v>73</v>
      </c>
      <c r="AA1579" t="str">
        <f>"14210-2324"</f>
        <v>14210-2324</v>
      </c>
      <c r="AB1579" t="s">
        <v>109</v>
      </c>
      <c r="AC1579" t="s">
        <v>75</v>
      </c>
      <c r="AD1579" t="s">
        <v>72</v>
      </c>
      <c r="AE1579" t="s">
        <v>76</v>
      </c>
      <c r="AF1579" t="s">
        <v>4879</v>
      </c>
      <c r="AG1579" t="s">
        <v>77</v>
      </c>
    </row>
    <row r="1580" spans="1:33" x14ac:dyDescent="0.25">
      <c r="A1580" t="str">
        <f>"1497935092"</f>
        <v>1497935092</v>
      </c>
      <c r="B1580" t="str">
        <f>"02369524"</f>
        <v>02369524</v>
      </c>
      <c r="C1580" t="s">
        <v>394</v>
      </c>
      <c r="D1580" t="s">
        <v>2336</v>
      </c>
      <c r="E1580" t="s">
        <v>2337</v>
      </c>
      <c r="G1580" t="s">
        <v>396</v>
      </c>
      <c r="H1580" t="s">
        <v>9094</v>
      </c>
      <c r="J1580" t="s">
        <v>398</v>
      </c>
      <c r="L1580" t="s">
        <v>95</v>
      </c>
      <c r="M1580" t="s">
        <v>72</v>
      </c>
      <c r="R1580" t="s">
        <v>2335</v>
      </c>
      <c r="W1580" t="s">
        <v>2337</v>
      </c>
      <c r="X1580" t="s">
        <v>2338</v>
      </c>
      <c r="Y1580" t="s">
        <v>117</v>
      </c>
      <c r="Z1580" t="s">
        <v>73</v>
      </c>
      <c r="AA1580" t="str">
        <f>"14209-1912"</f>
        <v>14209-1912</v>
      </c>
      <c r="AB1580" t="s">
        <v>88</v>
      </c>
      <c r="AC1580" t="s">
        <v>75</v>
      </c>
      <c r="AD1580" t="s">
        <v>72</v>
      </c>
      <c r="AE1580" t="s">
        <v>76</v>
      </c>
      <c r="AF1580" t="s">
        <v>4879</v>
      </c>
      <c r="AG1580" t="s">
        <v>77</v>
      </c>
    </row>
    <row r="1581" spans="1:33" x14ac:dyDescent="0.25">
      <c r="A1581" t="str">
        <f>"1598939480"</f>
        <v>1598939480</v>
      </c>
      <c r="B1581" t="str">
        <f>"03005185"</f>
        <v>03005185</v>
      </c>
      <c r="C1581" t="s">
        <v>394</v>
      </c>
      <c r="D1581" t="s">
        <v>482</v>
      </c>
      <c r="E1581" t="s">
        <v>483</v>
      </c>
      <c r="G1581" t="s">
        <v>396</v>
      </c>
      <c r="H1581" t="s">
        <v>9095</v>
      </c>
      <c r="J1581" t="s">
        <v>398</v>
      </c>
      <c r="L1581" t="s">
        <v>122</v>
      </c>
      <c r="M1581" t="s">
        <v>81</v>
      </c>
      <c r="R1581" t="s">
        <v>3619</v>
      </c>
      <c r="W1581" t="s">
        <v>483</v>
      </c>
      <c r="X1581" t="s">
        <v>485</v>
      </c>
      <c r="Y1581" t="s">
        <v>117</v>
      </c>
      <c r="Z1581" t="s">
        <v>73</v>
      </c>
      <c r="AA1581" t="str">
        <f t="shared" ref="AA1581:AA1586" si="14">"14210-2324"</f>
        <v>14210-2324</v>
      </c>
      <c r="AB1581" t="s">
        <v>109</v>
      </c>
      <c r="AC1581" t="s">
        <v>75</v>
      </c>
      <c r="AD1581" t="s">
        <v>72</v>
      </c>
      <c r="AE1581" t="s">
        <v>76</v>
      </c>
      <c r="AF1581" t="s">
        <v>4879</v>
      </c>
      <c r="AG1581" t="s">
        <v>77</v>
      </c>
    </row>
    <row r="1582" spans="1:33" x14ac:dyDescent="0.25">
      <c r="A1582" t="str">
        <f>"1710152574"</f>
        <v>1710152574</v>
      </c>
      <c r="B1582" t="str">
        <f>"03005194"</f>
        <v>03005194</v>
      </c>
      <c r="C1582" t="s">
        <v>394</v>
      </c>
      <c r="D1582" t="s">
        <v>482</v>
      </c>
      <c r="E1582" t="s">
        <v>483</v>
      </c>
      <c r="G1582" t="s">
        <v>396</v>
      </c>
      <c r="H1582" t="s">
        <v>9096</v>
      </c>
      <c r="J1582" t="s">
        <v>398</v>
      </c>
      <c r="L1582" t="s">
        <v>122</v>
      </c>
      <c r="M1582" t="s">
        <v>81</v>
      </c>
      <c r="R1582" t="s">
        <v>3619</v>
      </c>
      <c r="W1582" t="s">
        <v>483</v>
      </c>
      <c r="X1582" t="s">
        <v>485</v>
      </c>
      <c r="Y1582" t="s">
        <v>117</v>
      </c>
      <c r="Z1582" t="s">
        <v>73</v>
      </c>
      <c r="AA1582" t="str">
        <f t="shared" si="14"/>
        <v>14210-2324</v>
      </c>
      <c r="AB1582" t="s">
        <v>109</v>
      </c>
      <c r="AC1582" t="s">
        <v>75</v>
      </c>
      <c r="AD1582" t="s">
        <v>72</v>
      </c>
      <c r="AE1582" t="s">
        <v>76</v>
      </c>
      <c r="AF1582" t="s">
        <v>4879</v>
      </c>
      <c r="AG1582" t="s">
        <v>77</v>
      </c>
    </row>
    <row r="1583" spans="1:33" x14ac:dyDescent="0.25">
      <c r="A1583" t="str">
        <f>"1811162670"</f>
        <v>1811162670</v>
      </c>
      <c r="B1583" t="str">
        <f>"03005209"</f>
        <v>03005209</v>
      </c>
      <c r="C1583" t="s">
        <v>394</v>
      </c>
      <c r="D1583" t="s">
        <v>482</v>
      </c>
      <c r="E1583" t="s">
        <v>483</v>
      </c>
      <c r="G1583" t="s">
        <v>396</v>
      </c>
      <c r="H1583" t="s">
        <v>9097</v>
      </c>
      <c r="J1583" t="s">
        <v>398</v>
      </c>
      <c r="L1583" t="s">
        <v>122</v>
      </c>
      <c r="M1583" t="s">
        <v>81</v>
      </c>
      <c r="R1583" t="s">
        <v>3621</v>
      </c>
      <c r="W1583" t="s">
        <v>483</v>
      </c>
      <c r="X1583" t="s">
        <v>485</v>
      </c>
      <c r="Y1583" t="s">
        <v>117</v>
      </c>
      <c r="Z1583" t="s">
        <v>73</v>
      </c>
      <c r="AA1583" t="str">
        <f t="shared" si="14"/>
        <v>14210-2324</v>
      </c>
      <c r="AB1583" t="s">
        <v>109</v>
      </c>
      <c r="AC1583" t="s">
        <v>75</v>
      </c>
      <c r="AD1583" t="s">
        <v>72</v>
      </c>
      <c r="AE1583" t="s">
        <v>76</v>
      </c>
      <c r="AF1583" t="s">
        <v>4879</v>
      </c>
      <c r="AG1583" t="s">
        <v>77</v>
      </c>
    </row>
    <row r="1584" spans="1:33" x14ac:dyDescent="0.25">
      <c r="A1584" t="str">
        <f>"1821263682"</f>
        <v>1821263682</v>
      </c>
      <c r="B1584" t="str">
        <f>"03005218"</f>
        <v>03005218</v>
      </c>
      <c r="C1584" t="s">
        <v>394</v>
      </c>
      <c r="D1584" t="s">
        <v>482</v>
      </c>
      <c r="E1584" t="s">
        <v>483</v>
      </c>
      <c r="G1584" t="s">
        <v>396</v>
      </c>
      <c r="H1584" t="s">
        <v>9098</v>
      </c>
      <c r="J1584" t="s">
        <v>398</v>
      </c>
      <c r="L1584" t="s">
        <v>122</v>
      </c>
      <c r="M1584" t="s">
        <v>81</v>
      </c>
      <c r="R1584" t="s">
        <v>3619</v>
      </c>
      <c r="W1584" t="s">
        <v>483</v>
      </c>
      <c r="X1584" t="s">
        <v>485</v>
      </c>
      <c r="Y1584" t="s">
        <v>117</v>
      </c>
      <c r="Z1584" t="s">
        <v>73</v>
      </c>
      <c r="AA1584" t="str">
        <f t="shared" si="14"/>
        <v>14210-2324</v>
      </c>
      <c r="AB1584" t="s">
        <v>109</v>
      </c>
      <c r="AC1584" t="s">
        <v>75</v>
      </c>
      <c r="AD1584" t="s">
        <v>72</v>
      </c>
      <c r="AE1584" t="s">
        <v>76</v>
      </c>
      <c r="AF1584" t="s">
        <v>4879</v>
      </c>
      <c r="AG1584" t="s">
        <v>77</v>
      </c>
    </row>
    <row r="1585" spans="1:33" x14ac:dyDescent="0.25">
      <c r="A1585" t="str">
        <f>"1275707101"</f>
        <v>1275707101</v>
      </c>
      <c r="B1585" t="str">
        <f>"03005149"</f>
        <v>03005149</v>
      </c>
      <c r="C1585" t="s">
        <v>9099</v>
      </c>
      <c r="D1585" t="s">
        <v>482</v>
      </c>
      <c r="E1585" t="s">
        <v>483</v>
      </c>
      <c r="G1585" t="s">
        <v>396</v>
      </c>
      <c r="H1585" t="s">
        <v>397</v>
      </c>
      <c r="J1585" t="s">
        <v>398</v>
      </c>
      <c r="L1585" t="s">
        <v>122</v>
      </c>
      <c r="M1585" t="s">
        <v>81</v>
      </c>
      <c r="R1585" t="s">
        <v>3620</v>
      </c>
      <c r="W1585" t="s">
        <v>483</v>
      </c>
      <c r="X1585" t="s">
        <v>485</v>
      </c>
      <c r="Y1585" t="s">
        <v>117</v>
      </c>
      <c r="Z1585" t="s">
        <v>73</v>
      </c>
      <c r="AA1585" t="str">
        <f t="shared" si="14"/>
        <v>14210-2324</v>
      </c>
      <c r="AB1585" t="s">
        <v>109</v>
      </c>
      <c r="AC1585" t="s">
        <v>75</v>
      </c>
      <c r="AD1585" t="s">
        <v>72</v>
      </c>
      <c r="AE1585" t="s">
        <v>76</v>
      </c>
      <c r="AF1585" t="s">
        <v>4879</v>
      </c>
      <c r="AG1585" t="s">
        <v>77</v>
      </c>
    </row>
    <row r="1586" spans="1:33" x14ac:dyDescent="0.25">
      <c r="A1586" t="str">
        <f>"1093980856"</f>
        <v>1093980856</v>
      </c>
      <c r="B1586" t="str">
        <f>"00660577"</f>
        <v>00660577</v>
      </c>
      <c r="C1586" t="s">
        <v>9100</v>
      </c>
      <c r="D1586" t="s">
        <v>482</v>
      </c>
      <c r="E1586" t="s">
        <v>483</v>
      </c>
      <c r="G1586" t="s">
        <v>396</v>
      </c>
      <c r="H1586" t="s">
        <v>397</v>
      </c>
      <c r="J1586" t="s">
        <v>398</v>
      </c>
      <c r="L1586" t="s">
        <v>122</v>
      </c>
      <c r="M1586" t="s">
        <v>81</v>
      </c>
      <c r="R1586" t="s">
        <v>3619</v>
      </c>
      <c r="W1586" t="s">
        <v>483</v>
      </c>
      <c r="X1586" t="s">
        <v>485</v>
      </c>
      <c r="Y1586" t="s">
        <v>117</v>
      </c>
      <c r="Z1586" t="s">
        <v>73</v>
      </c>
      <c r="AA1586" t="str">
        <f t="shared" si="14"/>
        <v>14210-2324</v>
      </c>
      <c r="AB1586" t="s">
        <v>109</v>
      </c>
      <c r="AC1586" t="s">
        <v>75</v>
      </c>
      <c r="AD1586" t="s">
        <v>72</v>
      </c>
      <c r="AE1586" t="s">
        <v>76</v>
      </c>
      <c r="AF1586" t="s">
        <v>4879</v>
      </c>
      <c r="AG1586" t="s">
        <v>77</v>
      </c>
    </row>
    <row r="1587" spans="1:33" x14ac:dyDescent="0.25">
      <c r="A1587" t="str">
        <f>"1326279597"</f>
        <v>1326279597</v>
      </c>
      <c r="B1587" t="str">
        <f>"03249649"</f>
        <v>03249649</v>
      </c>
      <c r="C1587" t="s">
        <v>9101</v>
      </c>
      <c r="D1587" t="s">
        <v>2258</v>
      </c>
      <c r="E1587" t="s">
        <v>2259</v>
      </c>
      <c r="G1587" t="s">
        <v>9101</v>
      </c>
      <c r="H1587" t="s">
        <v>9102</v>
      </c>
      <c r="J1587" t="s">
        <v>9103</v>
      </c>
      <c r="L1587" t="s">
        <v>79</v>
      </c>
      <c r="M1587" t="s">
        <v>72</v>
      </c>
      <c r="R1587" t="s">
        <v>2260</v>
      </c>
      <c r="W1587" t="s">
        <v>2259</v>
      </c>
      <c r="X1587" t="s">
        <v>243</v>
      </c>
      <c r="Y1587" t="s">
        <v>117</v>
      </c>
      <c r="Z1587" t="s">
        <v>73</v>
      </c>
      <c r="AA1587" t="str">
        <f>"14203-1126"</f>
        <v>14203-1126</v>
      </c>
      <c r="AB1587" t="s">
        <v>74</v>
      </c>
      <c r="AC1587" t="s">
        <v>75</v>
      </c>
      <c r="AD1587" t="s">
        <v>72</v>
      </c>
      <c r="AE1587" t="s">
        <v>76</v>
      </c>
      <c r="AF1587" t="s">
        <v>3974</v>
      </c>
      <c r="AG1587" t="s">
        <v>77</v>
      </c>
    </row>
    <row r="1588" spans="1:33" x14ac:dyDescent="0.25">
      <c r="A1588" t="str">
        <f>"1821084492"</f>
        <v>1821084492</v>
      </c>
      <c r="C1588" t="s">
        <v>9104</v>
      </c>
      <c r="G1588" t="s">
        <v>4768</v>
      </c>
      <c r="H1588" t="s">
        <v>4769</v>
      </c>
      <c r="J1588" t="s">
        <v>4770</v>
      </c>
      <c r="K1588" t="s">
        <v>89</v>
      </c>
      <c r="L1588" t="s">
        <v>92</v>
      </c>
      <c r="M1588" t="s">
        <v>72</v>
      </c>
      <c r="R1588" t="s">
        <v>9105</v>
      </c>
      <c r="S1588" t="s">
        <v>9106</v>
      </c>
      <c r="T1588" t="s">
        <v>221</v>
      </c>
      <c r="U1588" t="s">
        <v>73</v>
      </c>
      <c r="V1588" t="str">
        <f>"142215321"</f>
        <v>142215321</v>
      </c>
      <c r="AC1588" t="s">
        <v>75</v>
      </c>
      <c r="AD1588" t="s">
        <v>72</v>
      </c>
      <c r="AE1588" t="s">
        <v>93</v>
      </c>
      <c r="AF1588" t="s">
        <v>4078</v>
      </c>
      <c r="AG1588" t="s">
        <v>77</v>
      </c>
    </row>
    <row r="1589" spans="1:33" x14ac:dyDescent="0.25">
      <c r="A1589" t="str">
        <f>"1912953571"</f>
        <v>1912953571</v>
      </c>
      <c r="B1589" t="str">
        <f>"00776756"</f>
        <v>00776756</v>
      </c>
      <c r="C1589" t="s">
        <v>9107</v>
      </c>
      <c r="D1589" t="s">
        <v>9108</v>
      </c>
      <c r="E1589" t="s">
        <v>9109</v>
      </c>
      <c r="G1589" t="s">
        <v>9107</v>
      </c>
      <c r="H1589" t="s">
        <v>9110</v>
      </c>
      <c r="J1589" t="s">
        <v>9111</v>
      </c>
      <c r="L1589" t="s">
        <v>79</v>
      </c>
      <c r="M1589" t="s">
        <v>72</v>
      </c>
      <c r="R1589" t="s">
        <v>9112</v>
      </c>
      <c r="W1589" t="s">
        <v>9109</v>
      </c>
      <c r="X1589" t="s">
        <v>456</v>
      </c>
      <c r="Y1589" t="s">
        <v>209</v>
      </c>
      <c r="Z1589" t="s">
        <v>73</v>
      </c>
      <c r="AA1589" t="str">
        <f>"14301-1813"</f>
        <v>14301-1813</v>
      </c>
      <c r="AB1589" t="s">
        <v>74</v>
      </c>
      <c r="AC1589" t="s">
        <v>75</v>
      </c>
      <c r="AD1589" t="s">
        <v>72</v>
      </c>
      <c r="AE1589" t="s">
        <v>76</v>
      </c>
      <c r="AF1589" t="s">
        <v>3974</v>
      </c>
      <c r="AG1589" t="s">
        <v>77</v>
      </c>
    </row>
    <row r="1590" spans="1:33" x14ac:dyDescent="0.25">
      <c r="A1590" t="str">
        <f>"1962596718"</f>
        <v>1962596718</v>
      </c>
      <c r="B1590" t="str">
        <f>"02998227"</f>
        <v>02998227</v>
      </c>
      <c r="C1590" t="s">
        <v>9113</v>
      </c>
      <c r="D1590" t="s">
        <v>9114</v>
      </c>
      <c r="E1590" t="s">
        <v>9115</v>
      </c>
      <c r="G1590" t="s">
        <v>9116</v>
      </c>
      <c r="H1590" t="s">
        <v>2105</v>
      </c>
      <c r="J1590" t="s">
        <v>9117</v>
      </c>
      <c r="L1590" t="s">
        <v>139</v>
      </c>
      <c r="M1590" t="s">
        <v>81</v>
      </c>
      <c r="R1590" t="s">
        <v>9118</v>
      </c>
      <c r="W1590" t="s">
        <v>9119</v>
      </c>
      <c r="X1590" t="s">
        <v>9120</v>
      </c>
      <c r="Y1590" t="s">
        <v>217</v>
      </c>
      <c r="Z1590" t="s">
        <v>73</v>
      </c>
      <c r="AA1590" t="str">
        <f>"14760-2544"</f>
        <v>14760-2544</v>
      </c>
      <c r="AB1590" t="s">
        <v>83</v>
      </c>
      <c r="AC1590" t="s">
        <v>75</v>
      </c>
      <c r="AD1590" t="s">
        <v>72</v>
      </c>
      <c r="AE1590" t="s">
        <v>76</v>
      </c>
      <c r="AF1590" t="s">
        <v>4059</v>
      </c>
      <c r="AG1590" t="s">
        <v>77</v>
      </c>
    </row>
    <row r="1591" spans="1:33" x14ac:dyDescent="0.25">
      <c r="A1591" t="str">
        <f>"1356588891"</f>
        <v>1356588891</v>
      </c>
      <c r="B1591" t="str">
        <f>"03119582"</f>
        <v>03119582</v>
      </c>
      <c r="C1591" t="s">
        <v>9121</v>
      </c>
      <c r="D1591" t="s">
        <v>9122</v>
      </c>
      <c r="E1591" t="s">
        <v>9123</v>
      </c>
      <c r="G1591" t="s">
        <v>4768</v>
      </c>
      <c r="H1591" t="s">
        <v>4769</v>
      </c>
      <c r="J1591" t="s">
        <v>4770</v>
      </c>
      <c r="L1591" t="s">
        <v>16</v>
      </c>
      <c r="M1591" t="s">
        <v>72</v>
      </c>
      <c r="R1591" t="s">
        <v>9124</v>
      </c>
      <c r="W1591" t="s">
        <v>9125</v>
      </c>
      <c r="X1591" t="s">
        <v>9126</v>
      </c>
      <c r="Y1591" t="s">
        <v>630</v>
      </c>
      <c r="Z1591" t="s">
        <v>73</v>
      </c>
      <c r="AA1591" t="str">
        <f>"14043-1039"</f>
        <v>14043-1039</v>
      </c>
      <c r="AB1591" t="s">
        <v>115</v>
      </c>
      <c r="AC1591" t="s">
        <v>75</v>
      </c>
      <c r="AD1591" t="s">
        <v>72</v>
      </c>
      <c r="AE1591" t="s">
        <v>76</v>
      </c>
      <c r="AF1591" t="s">
        <v>4078</v>
      </c>
      <c r="AG1591" t="s">
        <v>77</v>
      </c>
    </row>
    <row r="1592" spans="1:33" x14ac:dyDescent="0.25">
      <c r="A1592" t="str">
        <f>"1649512179"</f>
        <v>1649512179</v>
      </c>
      <c r="C1592" t="s">
        <v>9127</v>
      </c>
      <c r="G1592" t="s">
        <v>4768</v>
      </c>
      <c r="H1592" t="s">
        <v>4769</v>
      </c>
      <c r="J1592" t="s">
        <v>4770</v>
      </c>
      <c r="K1592" t="s">
        <v>89</v>
      </c>
      <c r="L1592" t="s">
        <v>92</v>
      </c>
      <c r="M1592" t="s">
        <v>72</v>
      </c>
      <c r="R1592" t="s">
        <v>9128</v>
      </c>
      <c r="S1592" t="s">
        <v>9126</v>
      </c>
      <c r="T1592" t="s">
        <v>630</v>
      </c>
      <c r="U1592" t="s">
        <v>73</v>
      </c>
      <c r="V1592" t="str">
        <f>"140431039"</f>
        <v>140431039</v>
      </c>
      <c r="AC1592" t="s">
        <v>75</v>
      </c>
      <c r="AD1592" t="s">
        <v>72</v>
      </c>
      <c r="AE1592" t="s">
        <v>93</v>
      </c>
      <c r="AF1592" t="s">
        <v>4078</v>
      </c>
      <c r="AG1592" t="s">
        <v>77</v>
      </c>
    </row>
    <row r="1593" spans="1:33" x14ac:dyDescent="0.25">
      <c r="C1593" t="s">
        <v>9129</v>
      </c>
      <c r="G1593" t="s">
        <v>9130</v>
      </c>
      <c r="H1593" t="s">
        <v>9131</v>
      </c>
      <c r="J1593" t="s">
        <v>9132</v>
      </c>
      <c r="K1593" t="s">
        <v>89</v>
      </c>
      <c r="L1593" t="s">
        <v>90</v>
      </c>
      <c r="M1593" t="s">
        <v>72</v>
      </c>
      <c r="N1593" t="s">
        <v>9133</v>
      </c>
      <c r="O1593" t="s">
        <v>1101</v>
      </c>
      <c r="P1593" t="s">
        <v>73</v>
      </c>
      <c r="Q1593" t="str">
        <f>"14214"</f>
        <v>14214</v>
      </c>
      <c r="AC1593" t="s">
        <v>75</v>
      </c>
      <c r="AD1593" t="s">
        <v>72</v>
      </c>
      <c r="AE1593" t="s">
        <v>91</v>
      </c>
      <c r="AF1593" t="s">
        <v>4078</v>
      </c>
      <c r="AG1593" t="s">
        <v>77</v>
      </c>
    </row>
    <row r="1594" spans="1:33" x14ac:dyDescent="0.25">
      <c r="C1594" t="s">
        <v>3838</v>
      </c>
      <c r="G1594" t="s">
        <v>9134</v>
      </c>
      <c r="H1594" t="s">
        <v>9135</v>
      </c>
      <c r="J1594" t="s">
        <v>9136</v>
      </c>
      <c r="K1594" t="s">
        <v>89</v>
      </c>
      <c r="L1594" t="s">
        <v>90</v>
      </c>
      <c r="M1594" t="s">
        <v>72</v>
      </c>
      <c r="N1594" t="s">
        <v>9137</v>
      </c>
      <c r="O1594" t="s">
        <v>1101</v>
      </c>
      <c r="P1594" t="s">
        <v>73</v>
      </c>
      <c r="Q1594" t="str">
        <f>"14209"</f>
        <v>14209</v>
      </c>
      <c r="AC1594" t="s">
        <v>75</v>
      </c>
      <c r="AD1594" t="s">
        <v>72</v>
      </c>
      <c r="AE1594" t="s">
        <v>91</v>
      </c>
      <c r="AF1594" t="s">
        <v>4059</v>
      </c>
      <c r="AG1594" t="s">
        <v>77</v>
      </c>
    </row>
    <row r="1595" spans="1:33" x14ac:dyDescent="0.25">
      <c r="C1595" t="s">
        <v>2816</v>
      </c>
      <c r="G1595" t="s">
        <v>9138</v>
      </c>
      <c r="H1595" t="s">
        <v>2387</v>
      </c>
      <c r="J1595" t="s">
        <v>9139</v>
      </c>
      <c r="K1595" t="s">
        <v>89</v>
      </c>
      <c r="L1595" t="s">
        <v>90</v>
      </c>
      <c r="M1595" t="s">
        <v>72</v>
      </c>
      <c r="N1595" t="s">
        <v>9140</v>
      </c>
      <c r="O1595" t="s">
        <v>3473</v>
      </c>
      <c r="P1595" t="s">
        <v>73</v>
      </c>
      <c r="Q1595" t="str">
        <f>"14760"</f>
        <v>14760</v>
      </c>
      <c r="AC1595" t="s">
        <v>75</v>
      </c>
      <c r="AD1595" t="s">
        <v>72</v>
      </c>
      <c r="AE1595" t="s">
        <v>91</v>
      </c>
      <c r="AF1595" t="s">
        <v>4059</v>
      </c>
      <c r="AG1595" t="s">
        <v>77</v>
      </c>
    </row>
    <row r="1596" spans="1:33" x14ac:dyDescent="0.25">
      <c r="A1596" t="str">
        <f>"1689658312"</f>
        <v>1689658312</v>
      </c>
      <c r="B1596" t="str">
        <f>"02560901"</f>
        <v>02560901</v>
      </c>
      <c r="C1596" t="s">
        <v>9141</v>
      </c>
      <c r="D1596" t="s">
        <v>2249</v>
      </c>
      <c r="E1596" t="s">
        <v>2250</v>
      </c>
      <c r="G1596" t="s">
        <v>4026</v>
      </c>
      <c r="H1596" t="s">
        <v>753</v>
      </c>
      <c r="J1596" t="s">
        <v>4027</v>
      </c>
      <c r="L1596" t="s">
        <v>79</v>
      </c>
      <c r="M1596" t="s">
        <v>72</v>
      </c>
      <c r="R1596" t="s">
        <v>2251</v>
      </c>
      <c r="W1596" t="s">
        <v>2250</v>
      </c>
      <c r="X1596" t="s">
        <v>446</v>
      </c>
      <c r="Y1596" t="s">
        <v>117</v>
      </c>
      <c r="Z1596" t="s">
        <v>73</v>
      </c>
      <c r="AA1596" t="str">
        <f>"14209-1194"</f>
        <v>14209-1194</v>
      </c>
      <c r="AB1596" t="s">
        <v>74</v>
      </c>
      <c r="AC1596" t="s">
        <v>75</v>
      </c>
      <c r="AD1596" t="s">
        <v>72</v>
      </c>
      <c r="AE1596" t="s">
        <v>76</v>
      </c>
      <c r="AF1596" t="s">
        <v>3974</v>
      </c>
      <c r="AG1596" t="s">
        <v>77</v>
      </c>
    </row>
    <row r="1597" spans="1:33" x14ac:dyDescent="0.25">
      <c r="A1597" t="str">
        <f>"1720055999"</f>
        <v>1720055999</v>
      </c>
      <c r="B1597" t="str">
        <f>"01041730"</f>
        <v>01041730</v>
      </c>
      <c r="C1597" t="s">
        <v>9142</v>
      </c>
      <c r="D1597" t="s">
        <v>9143</v>
      </c>
      <c r="E1597" t="s">
        <v>9144</v>
      </c>
      <c r="L1597" t="s">
        <v>80</v>
      </c>
      <c r="M1597" t="s">
        <v>72</v>
      </c>
      <c r="R1597" t="s">
        <v>9145</v>
      </c>
      <c r="W1597" t="s">
        <v>9144</v>
      </c>
      <c r="X1597" t="s">
        <v>3787</v>
      </c>
      <c r="Y1597" t="s">
        <v>408</v>
      </c>
      <c r="Z1597" t="s">
        <v>73</v>
      </c>
      <c r="AA1597" t="str">
        <f>"14757"</f>
        <v>14757</v>
      </c>
      <c r="AB1597" t="s">
        <v>74</v>
      </c>
      <c r="AC1597" t="s">
        <v>75</v>
      </c>
      <c r="AD1597" t="s">
        <v>72</v>
      </c>
      <c r="AE1597" t="s">
        <v>76</v>
      </c>
      <c r="AF1597" t="s">
        <v>7887</v>
      </c>
      <c r="AG1597" t="s">
        <v>77</v>
      </c>
    </row>
    <row r="1598" spans="1:33" x14ac:dyDescent="0.25">
      <c r="A1598" t="str">
        <f>"1437467487"</f>
        <v>1437467487</v>
      </c>
      <c r="B1598" t="str">
        <f>"03287538"</f>
        <v>03287538</v>
      </c>
      <c r="C1598" t="s">
        <v>9146</v>
      </c>
      <c r="D1598" t="s">
        <v>9147</v>
      </c>
      <c r="E1598" t="s">
        <v>9148</v>
      </c>
      <c r="L1598" t="s">
        <v>79</v>
      </c>
      <c r="M1598" t="s">
        <v>72</v>
      </c>
      <c r="R1598" t="s">
        <v>9149</v>
      </c>
      <c r="W1598" t="s">
        <v>9150</v>
      </c>
      <c r="X1598" t="s">
        <v>8885</v>
      </c>
      <c r="Y1598" t="s">
        <v>242</v>
      </c>
      <c r="Z1598" t="s">
        <v>73</v>
      </c>
      <c r="AA1598" t="str">
        <f>"14701-6940"</f>
        <v>14701-6940</v>
      </c>
      <c r="AB1598" t="s">
        <v>74</v>
      </c>
      <c r="AC1598" t="s">
        <v>75</v>
      </c>
      <c r="AD1598" t="s">
        <v>72</v>
      </c>
      <c r="AE1598" t="s">
        <v>76</v>
      </c>
      <c r="AF1598" t="s">
        <v>7966</v>
      </c>
      <c r="AG1598" t="s">
        <v>77</v>
      </c>
    </row>
    <row r="1599" spans="1:33" x14ac:dyDescent="0.25">
      <c r="A1599" t="str">
        <f>"1881786598"</f>
        <v>1881786598</v>
      </c>
      <c r="B1599" t="str">
        <f>"02883461"</f>
        <v>02883461</v>
      </c>
      <c r="C1599" t="s">
        <v>9151</v>
      </c>
      <c r="D1599" t="s">
        <v>9152</v>
      </c>
      <c r="E1599" t="s">
        <v>9153</v>
      </c>
      <c r="L1599" t="s">
        <v>79</v>
      </c>
      <c r="M1599" t="s">
        <v>72</v>
      </c>
      <c r="R1599" t="s">
        <v>9154</v>
      </c>
      <c r="W1599" t="s">
        <v>9155</v>
      </c>
      <c r="X1599" t="s">
        <v>8885</v>
      </c>
      <c r="Y1599" t="s">
        <v>242</v>
      </c>
      <c r="Z1599" t="s">
        <v>73</v>
      </c>
      <c r="AA1599" t="str">
        <f>"14701-6940"</f>
        <v>14701-6940</v>
      </c>
      <c r="AB1599" t="s">
        <v>74</v>
      </c>
      <c r="AC1599" t="s">
        <v>75</v>
      </c>
      <c r="AD1599" t="s">
        <v>72</v>
      </c>
      <c r="AE1599" t="s">
        <v>76</v>
      </c>
      <c r="AF1599" t="s">
        <v>7966</v>
      </c>
      <c r="AG1599" t="s">
        <v>77</v>
      </c>
    </row>
    <row r="1600" spans="1:33" x14ac:dyDescent="0.25">
      <c r="A1600" t="str">
        <f>"1316932262"</f>
        <v>1316932262</v>
      </c>
      <c r="C1600" t="s">
        <v>9156</v>
      </c>
      <c r="K1600" t="s">
        <v>89</v>
      </c>
      <c r="L1600" t="s">
        <v>71</v>
      </c>
      <c r="M1600" t="s">
        <v>72</v>
      </c>
      <c r="R1600" t="s">
        <v>9157</v>
      </c>
      <c r="S1600" t="s">
        <v>1209</v>
      </c>
      <c r="T1600" t="s">
        <v>237</v>
      </c>
      <c r="U1600" t="s">
        <v>73</v>
      </c>
      <c r="V1600" t="str">
        <f>"142243444"</f>
        <v>142243444</v>
      </c>
      <c r="AC1600" t="s">
        <v>75</v>
      </c>
      <c r="AD1600" t="s">
        <v>72</v>
      </c>
      <c r="AE1600" t="s">
        <v>93</v>
      </c>
      <c r="AF1600" t="s">
        <v>3974</v>
      </c>
      <c r="AG1600" t="s">
        <v>77</v>
      </c>
    </row>
    <row r="1601" spans="1:33" x14ac:dyDescent="0.25">
      <c r="A1601" t="str">
        <f>"1548693724"</f>
        <v>1548693724</v>
      </c>
      <c r="B1601" t="str">
        <f>"03819596"</f>
        <v>03819596</v>
      </c>
      <c r="C1601" t="s">
        <v>9158</v>
      </c>
      <c r="D1601" t="s">
        <v>9159</v>
      </c>
      <c r="E1601" t="s">
        <v>9160</v>
      </c>
      <c r="L1601" t="s">
        <v>79</v>
      </c>
      <c r="M1601" t="s">
        <v>72</v>
      </c>
      <c r="R1601" t="s">
        <v>9161</v>
      </c>
      <c r="W1601" t="s">
        <v>9160</v>
      </c>
      <c r="X1601" t="s">
        <v>576</v>
      </c>
      <c r="Y1601" t="s">
        <v>117</v>
      </c>
      <c r="Z1601" t="s">
        <v>73</v>
      </c>
      <c r="AA1601" t="str">
        <f>"14223-1107"</f>
        <v>14223-1107</v>
      </c>
      <c r="AB1601" t="s">
        <v>74</v>
      </c>
      <c r="AC1601" t="s">
        <v>75</v>
      </c>
      <c r="AD1601" t="s">
        <v>72</v>
      </c>
      <c r="AE1601" t="s">
        <v>76</v>
      </c>
      <c r="AF1601" t="s">
        <v>3961</v>
      </c>
      <c r="AG1601" t="s">
        <v>77</v>
      </c>
    </row>
    <row r="1602" spans="1:33" x14ac:dyDescent="0.25">
      <c r="A1602" t="str">
        <f>"1043410012"</f>
        <v>1043410012</v>
      </c>
      <c r="C1602" t="s">
        <v>9162</v>
      </c>
      <c r="K1602" t="s">
        <v>89</v>
      </c>
      <c r="L1602" t="s">
        <v>71</v>
      </c>
      <c r="M1602" t="s">
        <v>72</v>
      </c>
      <c r="R1602" t="s">
        <v>2004</v>
      </c>
      <c r="S1602" t="s">
        <v>1209</v>
      </c>
      <c r="T1602" t="s">
        <v>237</v>
      </c>
      <c r="U1602" t="s">
        <v>73</v>
      </c>
      <c r="V1602" t="str">
        <f>"142243444"</f>
        <v>142243444</v>
      </c>
      <c r="AC1602" t="s">
        <v>75</v>
      </c>
      <c r="AD1602" t="s">
        <v>72</v>
      </c>
      <c r="AE1602" t="s">
        <v>93</v>
      </c>
      <c r="AF1602" t="s">
        <v>3974</v>
      </c>
      <c r="AG1602" t="s">
        <v>77</v>
      </c>
    </row>
    <row r="1603" spans="1:33" x14ac:dyDescent="0.25">
      <c r="A1603" t="str">
        <f>"1538467246"</f>
        <v>1538467246</v>
      </c>
      <c r="C1603" t="s">
        <v>9163</v>
      </c>
      <c r="K1603" t="s">
        <v>89</v>
      </c>
      <c r="L1603" t="s">
        <v>71</v>
      </c>
      <c r="M1603" t="s">
        <v>72</v>
      </c>
      <c r="R1603" t="s">
        <v>1356</v>
      </c>
      <c r="S1603" t="s">
        <v>1357</v>
      </c>
      <c r="T1603" t="s">
        <v>221</v>
      </c>
      <c r="U1603" t="s">
        <v>73</v>
      </c>
      <c r="V1603" t="str">
        <f>"14221"</f>
        <v>14221</v>
      </c>
      <c r="AC1603" t="s">
        <v>75</v>
      </c>
      <c r="AD1603" t="s">
        <v>72</v>
      </c>
      <c r="AE1603" t="s">
        <v>93</v>
      </c>
      <c r="AF1603" t="s">
        <v>3974</v>
      </c>
      <c r="AG1603" t="s">
        <v>77</v>
      </c>
    </row>
    <row r="1604" spans="1:33" x14ac:dyDescent="0.25">
      <c r="A1604" t="str">
        <f>"1346599396"</f>
        <v>1346599396</v>
      </c>
      <c r="B1604" t="str">
        <f>"03519633"</f>
        <v>03519633</v>
      </c>
      <c r="C1604" t="s">
        <v>9164</v>
      </c>
      <c r="D1604" t="s">
        <v>9165</v>
      </c>
      <c r="E1604" t="s">
        <v>9166</v>
      </c>
      <c r="L1604" t="s">
        <v>96</v>
      </c>
      <c r="M1604" t="s">
        <v>72</v>
      </c>
      <c r="R1604" t="s">
        <v>9167</v>
      </c>
      <c r="W1604" t="s">
        <v>9168</v>
      </c>
      <c r="X1604" t="s">
        <v>1900</v>
      </c>
      <c r="Y1604" t="s">
        <v>228</v>
      </c>
      <c r="Z1604" t="s">
        <v>73</v>
      </c>
      <c r="AA1604" t="str">
        <f>"14226-1746"</f>
        <v>14226-1746</v>
      </c>
      <c r="AB1604" t="s">
        <v>74</v>
      </c>
      <c r="AC1604" t="s">
        <v>75</v>
      </c>
      <c r="AD1604" t="s">
        <v>72</v>
      </c>
      <c r="AE1604" t="s">
        <v>76</v>
      </c>
      <c r="AF1604" t="s">
        <v>3974</v>
      </c>
      <c r="AG1604" t="s">
        <v>77</v>
      </c>
    </row>
    <row r="1605" spans="1:33" x14ac:dyDescent="0.25">
      <c r="A1605" t="str">
        <f>"1013969492"</f>
        <v>1013969492</v>
      </c>
      <c r="B1605" t="str">
        <f>"01610939"</f>
        <v>01610939</v>
      </c>
      <c r="C1605" t="s">
        <v>9169</v>
      </c>
      <c r="D1605" t="s">
        <v>9170</v>
      </c>
      <c r="E1605" t="s">
        <v>9171</v>
      </c>
      <c r="G1605" t="s">
        <v>3969</v>
      </c>
      <c r="H1605" t="s">
        <v>3970</v>
      </c>
      <c r="J1605" t="s">
        <v>3971</v>
      </c>
      <c r="L1605" t="s">
        <v>79</v>
      </c>
      <c r="M1605" t="s">
        <v>72</v>
      </c>
      <c r="R1605" t="s">
        <v>9172</v>
      </c>
      <c r="W1605" t="s">
        <v>9171</v>
      </c>
      <c r="X1605" t="s">
        <v>234</v>
      </c>
      <c r="Y1605" t="s">
        <v>117</v>
      </c>
      <c r="Z1605" t="s">
        <v>73</v>
      </c>
      <c r="AA1605" t="str">
        <f>"14220-2095"</f>
        <v>14220-2095</v>
      </c>
      <c r="AB1605" t="s">
        <v>74</v>
      </c>
      <c r="AC1605" t="s">
        <v>75</v>
      </c>
      <c r="AD1605" t="s">
        <v>72</v>
      </c>
      <c r="AE1605" t="s">
        <v>76</v>
      </c>
      <c r="AF1605" t="s">
        <v>3974</v>
      </c>
      <c r="AG1605" t="s">
        <v>77</v>
      </c>
    </row>
    <row r="1606" spans="1:33" x14ac:dyDescent="0.25">
      <c r="A1606" t="str">
        <f>"1760489736"</f>
        <v>1760489736</v>
      </c>
      <c r="B1606" t="str">
        <f>"02628251"</f>
        <v>02628251</v>
      </c>
      <c r="C1606" t="s">
        <v>9173</v>
      </c>
      <c r="D1606" t="s">
        <v>2498</v>
      </c>
      <c r="E1606" t="s">
        <v>2499</v>
      </c>
      <c r="G1606" t="s">
        <v>9174</v>
      </c>
      <c r="H1606" t="s">
        <v>2500</v>
      </c>
      <c r="J1606" t="s">
        <v>9175</v>
      </c>
      <c r="L1606" t="s">
        <v>79</v>
      </c>
      <c r="M1606" t="s">
        <v>72</v>
      </c>
      <c r="R1606" t="s">
        <v>2501</v>
      </c>
      <c r="W1606" t="s">
        <v>2499</v>
      </c>
      <c r="X1606" t="s">
        <v>456</v>
      </c>
      <c r="Y1606" t="s">
        <v>209</v>
      </c>
      <c r="Z1606" t="s">
        <v>73</v>
      </c>
      <c r="AA1606" t="str">
        <f>"14301-1813"</f>
        <v>14301-1813</v>
      </c>
      <c r="AB1606" t="s">
        <v>74</v>
      </c>
      <c r="AC1606" t="s">
        <v>75</v>
      </c>
      <c r="AD1606" t="s">
        <v>72</v>
      </c>
      <c r="AE1606" t="s">
        <v>76</v>
      </c>
      <c r="AF1606" t="s">
        <v>3974</v>
      </c>
      <c r="AG1606" t="s">
        <v>77</v>
      </c>
    </row>
    <row r="1607" spans="1:33" x14ac:dyDescent="0.25">
      <c r="A1607" t="str">
        <f>"1891860128"</f>
        <v>1891860128</v>
      </c>
      <c r="B1607" t="str">
        <f>"00668997"</f>
        <v>00668997</v>
      </c>
      <c r="C1607" t="s">
        <v>9176</v>
      </c>
      <c r="D1607" t="s">
        <v>2109</v>
      </c>
      <c r="E1607" t="s">
        <v>2110</v>
      </c>
      <c r="G1607" t="s">
        <v>9176</v>
      </c>
      <c r="H1607" t="s">
        <v>2111</v>
      </c>
      <c r="J1607" t="s">
        <v>9177</v>
      </c>
      <c r="L1607" t="s">
        <v>79</v>
      </c>
      <c r="M1607" t="s">
        <v>72</v>
      </c>
      <c r="R1607" t="s">
        <v>2112</v>
      </c>
      <c r="W1607" t="s">
        <v>2110</v>
      </c>
      <c r="X1607" t="s">
        <v>2113</v>
      </c>
      <c r="Y1607" t="s">
        <v>117</v>
      </c>
      <c r="Z1607" t="s">
        <v>73</v>
      </c>
      <c r="AA1607" t="str">
        <f>"14216-2826"</f>
        <v>14216-2826</v>
      </c>
      <c r="AB1607" t="s">
        <v>113</v>
      </c>
      <c r="AC1607" t="s">
        <v>75</v>
      </c>
      <c r="AD1607" t="s">
        <v>72</v>
      </c>
      <c r="AE1607" t="s">
        <v>76</v>
      </c>
      <c r="AF1607" t="s">
        <v>3974</v>
      </c>
      <c r="AG1607" t="s">
        <v>77</v>
      </c>
    </row>
    <row r="1608" spans="1:33" x14ac:dyDescent="0.25">
      <c r="A1608" t="str">
        <f>"1326115304"</f>
        <v>1326115304</v>
      </c>
      <c r="B1608" t="str">
        <f>"01112963"</f>
        <v>01112963</v>
      </c>
      <c r="C1608" t="s">
        <v>9178</v>
      </c>
      <c r="D1608" t="s">
        <v>9179</v>
      </c>
      <c r="E1608" t="s">
        <v>9180</v>
      </c>
      <c r="G1608" t="s">
        <v>6960</v>
      </c>
      <c r="H1608" t="s">
        <v>6961</v>
      </c>
      <c r="J1608" t="s">
        <v>6962</v>
      </c>
      <c r="L1608" t="s">
        <v>80</v>
      </c>
      <c r="M1608" t="s">
        <v>72</v>
      </c>
      <c r="R1608" t="s">
        <v>9181</v>
      </c>
      <c r="W1608" t="s">
        <v>9180</v>
      </c>
      <c r="X1608" t="s">
        <v>974</v>
      </c>
      <c r="Y1608" t="s">
        <v>209</v>
      </c>
      <c r="Z1608" t="s">
        <v>73</v>
      </c>
      <c r="AA1608" t="str">
        <f>"14301-1807"</f>
        <v>14301-1807</v>
      </c>
      <c r="AB1608" t="s">
        <v>74</v>
      </c>
      <c r="AC1608" t="s">
        <v>75</v>
      </c>
      <c r="AD1608" t="s">
        <v>72</v>
      </c>
      <c r="AE1608" t="s">
        <v>76</v>
      </c>
      <c r="AF1608" t="s">
        <v>3961</v>
      </c>
      <c r="AG1608" t="s">
        <v>77</v>
      </c>
    </row>
    <row r="1609" spans="1:33" x14ac:dyDescent="0.25">
      <c r="A1609" t="str">
        <f>"1831143734"</f>
        <v>1831143734</v>
      </c>
      <c r="B1609" t="str">
        <f>"02084375"</f>
        <v>02084375</v>
      </c>
      <c r="C1609" t="s">
        <v>9182</v>
      </c>
      <c r="D1609" t="s">
        <v>9183</v>
      </c>
      <c r="E1609" t="s">
        <v>9184</v>
      </c>
      <c r="G1609" t="s">
        <v>3969</v>
      </c>
      <c r="H1609" t="s">
        <v>3970</v>
      </c>
      <c r="J1609" t="s">
        <v>3971</v>
      </c>
      <c r="L1609" t="s">
        <v>79</v>
      </c>
      <c r="M1609" t="s">
        <v>72</v>
      </c>
      <c r="R1609" t="s">
        <v>9185</v>
      </c>
      <c r="W1609" t="s">
        <v>9184</v>
      </c>
      <c r="X1609" t="s">
        <v>295</v>
      </c>
      <c r="Y1609" t="s">
        <v>117</v>
      </c>
      <c r="Z1609" t="s">
        <v>73</v>
      </c>
      <c r="AA1609" t="str">
        <f>"14215-3021"</f>
        <v>14215-3021</v>
      </c>
      <c r="AB1609" t="s">
        <v>74</v>
      </c>
      <c r="AC1609" t="s">
        <v>75</v>
      </c>
      <c r="AD1609" t="s">
        <v>72</v>
      </c>
      <c r="AE1609" t="s">
        <v>76</v>
      </c>
      <c r="AF1609" t="s">
        <v>3974</v>
      </c>
      <c r="AG1609" t="s">
        <v>77</v>
      </c>
    </row>
    <row r="1610" spans="1:33" x14ac:dyDescent="0.25">
      <c r="A1610" t="str">
        <f>"1982605499"</f>
        <v>1982605499</v>
      </c>
      <c r="B1610" t="str">
        <f>"01843278"</f>
        <v>01843278</v>
      </c>
      <c r="C1610" t="s">
        <v>9186</v>
      </c>
      <c r="D1610" t="s">
        <v>3640</v>
      </c>
      <c r="E1610" t="s">
        <v>3641</v>
      </c>
      <c r="G1610" t="s">
        <v>7934</v>
      </c>
      <c r="H1610" t="s">
        <v>3642</v>
      </c>
      <c r="J1610" t="s">
        <v>7935</v>
      </c>
      <c r="L1610" t="s">
        <v>79</v>
      </c>
      <c r="M1610" t="s">
        <v>72</v>
      </c>
      <c r="R1610" t="s">
        <v>3643</v>
      </c>
      <c r="W1610" t="s">
        <v>3641</v>
      </c>
      <c r="X1610" t="s">
        <v>3641</v>
      </c>
      <c r="Y1610" t="s">
        <v>240</v>
      </c>
      <c r="Z1610" t="s">
        <v>73</v>
      </c>
      <c r="AA1610" t="str">
        <f>"14094-6340"</f>
        <v>14094-6340</v>
      </c>
      <c r="AB1610" t="s">
        <v>74</v>
      </c>
      <c r="AC1610" t="s">
        <v>75</v>
      </c>
      <c r="AD1610" t="s">
        <v>72</v>
      </c>
      <c r="AE1610" t="s">
        <v>76</v>
      </c>
      <c r="AF1610" t="s">
        <v>3974</v>
      </c>
      <c r="AG1610" t="s">
        <v>77</v>
      </c>
    </row>
    <row r="1611" spans="1:33" x14ac:dyDescent="0.25">
      <c r="A1611" t="str">
        <f>"1730126400"</f>
        <v>1730126400</v>
      </c>
      <c r="B1611" t="str">
        <f>"00756785"</f>
        <v>00756785</v>
      </c>
      <c r="C1611" t="s">
        <v>9187</v>
      </c>
      <c r="D1611" t="s">
        <v>2539</v>
      </c>
      <c r="E1611" t="s">
        <v>2540</v>
      </c>
      <c r="G1611" t="s">
        <v>5048</v>
      </c>
      <c r="H1611" t="s">
        <v>1052</v>
      </c>
      <c r="J1611" t="s">
        <v>5049</v>
      </c>
      <c r="L1611" t="s">
        <v>80</v>
      </c>
      <c r="M1611" t="s">
        <v>72</v>
      </c>
      <c r="R1611" t="s">
        <v>2541</v>
      </c>
      <c r="W1611" t="s">
        <v>2540</v>
      </c>
      <c r="X1611" t="s">
        <v>162</v>
      </c>
      <c r="Y1611" t="s">
        <v>326</v>
      </c>
      <c r="Z1611" t="s">
        <v>73</v>
      </c>
      <c r="AA1611" t="str">
        <f>"14127-1853"</f>
        <v>14127-1853</v>
      </c>
      <c r="AB1611" t="s">
        <v>74</v>
      </c>
      <c r="AC1611" t="s">
        <v>75</v>
      </c>
      <c r="AD1611" t="s">
        <v>72</v>
      </c>
      <c r="AE1611" t="s">
        <v>76</v>
      </c>
      <c r="AF1611" t="s">
        <v>3961</v>
      </c>
      <c r="AG1611" t="s">
        <v>77</v>
      </c>
    </row>
    <row r="1612" spans="1:33" x14ac:dyDescent="0.25">
      <c r="A1612" t="str">
        <f>"1699726745"</f>
        <v>1699726745</v>
      </c>
      <c r="B1612" t="str">
        <f>"01809287"</f>
        <v>01809287</v>
      </c>
      <c r="C1612" t="s">
        <v>9188</v>
      </c>
      <c r="D1612" t="s">
        <v>9189</v>
      </c>
      <c r="E1612" t="s">
        <v>9190</v>
      </c>
      <c r="G1612" t="s">
        <v>9191</v>
      </c>
      <c r="H1612" t="s">
        <v>2046</v>
      </c>
      <c r="J1612" t="s">
        <v>9192</v>
      </c>
      <c r="L1612" t="s">
        <v>71</v>
      </c>
      <c r="M1612" t="s">
        <v>72</v>
      </c>
      <c r="R1612" t="s">
        <v>9193</v>
      </c>
      <c r="W1612" t="s">
        <v>9190</v>
      </c>
      <c r="X1612" t="s">
        <v>9194</v>
      </c>
      <c r="Y1612" t="s">
        <v>326</v>
      </c>
      <c r="Z1612" t="s">
        <v>73</v>
      </c>
      <c r="AA1612" t="str">
        <f>"14127"</f>
        <v>14127</v>
      </c>
      <c r="AB1612" t="s">
        <v>74</v>
      </c>
      <c r="AC1612" t="s">
        <v>75</v>
      </c>
      <c r="AD1612" t="s">
        <v>72</v>
      </c>
      <c r="AE1612" t="s">
        <v>76</v>
      </c>
      <c r="AF1612" t="s">
        <v>3974</v>
      </c>
      <c r="AG1612" t="s">
        <v>77</v>
      </c>
    </row>
    <row r="1613" spans="1:33" x14ac:dyDescent="0.25">
      <c r="A1613" t="str">
        <f>"1366436198"</f>
        <v>1366436198</v>
      </c>
      <c r="B1613" t="str">
        <f>"01129386"</f>
        <v>01129386</v>
      </c>
      <c r="C1613" t="s">
        <v>9195</v>
      </c>
      <c r="D1613" t="s">
        <v>2179</v>
      </c>
      <c r="E1613" t="s">
        <v>2180</v>
      </c>
      <c r="G1613" t="s">
        <v>5431</v>
      </c>
      <c r="H1613" t="s">
        <v>1046</v>
      </c>
      <c r="J1613" t="s">
        <v>5432</v>
      </c>
      <c r="L1613" t="s">
        <v>79</v>
      </c>
      <c r="M1613" t="s">
        <v>72</v>
      </c>
      <c r="R1613" t="s">
        <v>2181</v>
      </c>
      <c r="W1613" t="s">
        <v>2180</v>
      </c>
      <c r="X1613" t="s">
        <v>2182</v>
      </c>
      <c r="Y1613" t="s">
        <v>221</v>
      </c>
      <c r="Z1613" t="s">
        <v>73</v>
      </c>
      <c r="AA1613" t="str">
        <f>"14221"</f>
        <v>14221</v>
      </c>
      <c r="AB1613" t="s">
        <v>74</v>
      </c>
      <c r="AC1613" t="s">
        <v>75</v>
      </c>
      <c r="AD1613" t="s">
        <v>72</v>
      </c>
      <c r="AE1613" t="s">
        <v>76</v>
      </c>
      <c r="AF1613" t="s">
        <v>3974</v>
      </c>
      <c r="AG1613" t="s">
        <v>77</v>
      </c>
    </row>
    <row r="1614" spans="1:33" x14ac:dyDescent="0.25">
      <c r="A1614" t="str">
        <f>"1831148840"</f>
        <v>1831148840</v>
      </c>
      <c r="B1614" t="str">
        <f>"01080060"</f>
        <v>01080060</v>
      </c>
      <c r="C1614" t="s">
        <v>9196</v>
      </c>
      <c r="D1614" t="s">
        <v>947</v>
      </c>
      <c r="E1614" t="s">
        <v>948</v>
      </c>
      <c r="G1614" t="s">
        <v>4974</v>
      </c>
      <c r="H1614" t="s">
        <v>949</v>
      </c>
      <c r="J1614" t="s">
        <v>4975</v>
      </c>
      <c r="L1614" t="s">
        <v>79</v>
      </c>
      <c r="M1614" t="s">
        <v>72</v>
      </c>
      <c r="R1614" t="s">
        <v>950</v>
      </c>
      <c r="W1614" t="s">
        <v>948</v>
      </c>
      <c r="X1614" t="s">
        <v>951</v>
      </c>
      <c r="Y1614" t="s">
        <v>117</v>
      </c>
      <c r="Z1614" t="s">
        <v>73</v>
      </c>
      <c r="AA1614" t="str">
        <f>"14225-1085"</f>
        <v>14225-1085</v>
      </c>
      <c r="AB1614" t="s">
        <v>74</v>
      </c>
      <c r="AC1614" t="s">
        <v>75</v>
      </c>
      <c r="AD1614" t="s">
        <v>72</v>
      </c>
      <c r="AE1614" t="s">
        <v>76</v>
      </c>
      <c r="AF1614" t="s">
        <v>3974</v>
      </c>
      <c r="AG1614" t="s">
        <v>77</v>
      </c>
    </row>
    <row r="1615" spans="1:33" x14ac:dyDescent="0.25">
      <c r="A1615" t="str">
        <f>"1639196421"</f>
        <v>1639196421</v>
      </c>
      <c r="B1615" t="str">
        <f>"01956481"</f>
        <v>01956481</v>
      </c>
      <c r="C1615" t="s">
        <v>9197</v>
      </c>
      <c r="D1615" t="s">
        <v>9198</v>
      </c>
      <c r="E1615" t="s">
        <v>9199</v>
      </c>
      <c r="G1615" t="s">
        <v>9200</v>
      </c>
      <c r="H1615" t="s">
        <v>9201</v>
      </c>
      <c r="J1615" t="s">
        <v>9202</v>
      </c>
      <c r="L1615" t="s">
        <v>80</v>
      </c>
      <c r="M1615" t="s">
        <v>81</v>
      </c>
      <c r="R1615" t="s">
        <v>9203</v>
      </c>
      <c r="W1615" t="s">
        <v>9199</v>
      </c>
      <c r="X1615" t="s">
        <v>9204</v>
      </c>
      <c r="Y1615" t="s">
        <v>240</v>
      </c>
      <c r="Z1615" t="s">
        <v>73</v>
      </c>
      <c r="AA1615" t="str">
        <f>"14094-1128"</f>
        <v>14094-1128</v>
      </c>
      <c r="AB1615" t="s">
        <v>74</v>
      </c>
      <c r="AC1615" t="s">
        <v>75</v>
      </c>
      <c r="AD1615" t="s">
        <v>72</v>
      </c>
      <c r="AE1615" t="s">
        <v>76</v>
      </c>
      <c r="AF1615" t="s">
        <v>4431</v>
      </c>
      <c r="AG1615" t="s">
        <v>77</v>
      </c>
    </row>
    <row r="1616" spans="1:33" x14ac:dyDescent="0.25">
      <c r="A1616" t="str">
        <f>"1679554117"</f>
        <v>1679554117</v>
      </c>
      <c r="B1616" t="str">
        <f>"01789651"</f>
        <v>01789651</v>
      </c>
      <c r="C1616" t="s">
        <v>9205</v>
      </c>
      <c r="D1616" t="s">
        <v>9206</v>
      </c>
      <c r="E1616" t="s">
        <v>9207</v>
      </c>
      <c r="G1616" t="s">
        <v>5946</v>
      </c>
      <c r="H1616" t="s">
        <v>5947</v>
      </c>
      <c r="J1616" t="s">
        <v>5948</v>
      </c>
      <c r="L1616" t="s">
        <v>79</v>
      </c>
      <c r="M1616" t="s">
        <v>72</v>
      </c>
      <c r="R1616" t="s">
        <v>9208</v>
      </c>
      <c r="W1616" t="s">
        <v>9207</v>
      </c>
      <c r="X1616" t="s">
        <v>9209</v>
      </c>
      <c r="Y1616" t="s">
        <v>209</v>
      </c>
      <c r="Z1616" t="s">
        <v>73</v>
      </c>
      <c r="AA1616" t="str">
        <f>"14301-1813"</f>
        <v>14301-1813</v>
      </c>
      <c r="AB1616" t="s">
        <v>74</v>
      </c>
      <c r="AC1616" t="s">
        <v>75</v>
      </c>
      <c r="AD1616" t="s">
        <v>72</v>
      </c>
      <c r="AE1616" t="s">
        <v>76</v>
      </c>
      <c r="AF1616" t="s">
        <v>3974</v>
      </c>
      <c r="AG1616" t="s">
        <v>77</v>
      </c>
    </row>
    <row r="1617" spans="1:33" x14ac:dyDescent="0.25">
      <c r="A1617" t="str">
        <f>"1740240019"</f>
        <v>1740240019</v>
      </c>
      <c r="B1617" t="str">
        <f>"01842997"</f>
        <v>01842997</v>
      </c>
      <c r="C1617" t="s">
        <v>9210</v>
      </c>
      <c r="D1617" t="s">
        <v>9211</v>
      </c>
      <c r="E1617" t="s">
        <v>9212</v>
      </c>
      <c r="G1617" t="s">
        <v>5076</v>
      </c>
      <c r="H1617" t="s">
        <v>5077</v>
      </c>
      <c r="J1617" t="s">
        <v>5078</v>
      </c>
      <c r="L1617" t="s">
        <v>92</v>
      </c>
      <c r="M1617" t="s">
        <v>72</v>
      </c>
      <c r="R1617" t="s">
        <v>9212</v>
      </c>
      <c r="W1617" t="s">
        <v>9212</v>
      </c>
      <c r="X1617" t="s">
        <v>9212</v>
      </c>
      <c r="Y1617" t="s">
        <v>117</v>
      </c>
      <c r="Z1617" t="s">
        <v>73</v>
      </c>
      <c r="AA1617" t="str">
        <f>"14214-2648"</f>
        <v>14214-2648</v>
      </c>
      <c r="AB1617" t="s">
        <v>74</v>
      </c>
      <c r="AC1617" t="s">
        <v>75</v>
      </c>
      <c r="AD1617" t="s">
        <v>72</v>
      </c>
      <c r="AE1617" t="s">
        <v>76</v>
      </c>
      <c r="AF1617" t="s">
        <v>3974</v>
      </c>
      <c r="AG1617" t="s">
        <v>77</v>
      </c>
    </row>
    <row r="1618" spans="1:33" x14ac:dyDescent="0.25">
      <c r="A1618" t="str">
        <f>"1801865340"</f>
        <v>1801865340</v>
      </c>
      <c r="B1618" t="str">
        <f>"01630299"</f>
        <v>01630299</v>
      </c>
      <c r="C1618" t="s">
        <v>9213</v>
      </c>
      <c r="D1618" t="s">
        <v>3706</v>
      </c>
      <c r="E1618" t="s">
        <v>3707</v>
      </c>
      <c r="G1618" t="s">
        <v>9213</v>
      </c>
      <c r="H1618" t="s">
        <v>1659</v>
      </c>
      <c r="J1618" t="s">
        <v>9214</v>
      </c>
      <c r="L1618" t="s">
        <v>79</v>
      </c>
      <c r="M1618" t="s">
        <v>72</v>
      </c>
      <c r="R1618" t="s">
        <v>3708</v>
      </c>
      <c r="W1618" t="s">
        <v>3707</v>
      </c>
      <c r="X1618" t="s">
        <v>3709</v>
      </c>
      <c r="Y1618" t="s">
        <v>117</v>
      </c>
      <c r="Z1618" t="s">
        <v>73</v>
      </c>
      <c r="AA1618" t="str">
        <f>"14209-1120"</f>
        <v>14209-1120</v>
      </c>
      <c r="AB1618" t="s">
        <v>74</v>
      </c>
      <c r="AC1618" t="s">
        <v>75</v>
      </c>
      <c r="AD1618" t="s">
        <v>72</v>
      </c>
      <c r="AE1618" t="s">
        <v>76</v>
      </c>
      <c r="AF1618" t="s">
        <v>3974</v>
      </c>
      <c r="AG1618" t="s">
        <v>77</v>
      </c>
    </row>
    <row r="1619" spans="1:33" x14ac:dyDescent="0.25">
      <c r="A1619" t="str">
        <f>"1609855477"</f>
        <v>1609855477</v>
      </c>
      <c r="B1619" t="str">
        <f>"01771631"</f>
        <v>01771631</v>
      </c>
      <c r="C1619" t="s">
        <v>9215</v>
      </c>
      <c r="D1619" t="s">
        <v>1181</v>
      </c>
      <c r="E1619" t="s">
        <v>1182</v>
      </c>
      <c r="G1619" t="s">
        <v>6648</v>
      </c>
      <c r="H1619" t="s">
        <v>1183</v>
      </c>
      <c r="J1619" t="s">
        <v>6649</v>
      </c>
      <c r="L1619" t="s">
        <v>80</v>
      </c>
      <c r="M1619" t="s">
        <v>72</v>
      </c>
      <c r="R1619" t="s">
        <v>1184</v>
      </c>
      <c r="W1619" t="s">
        <v>1182</v>
      </c>
      <c r="X1619" t="s">
        <v>734</v>
      </c>
      <c r="Y1619" t="s">
        <v>117</v>
      </c>
      <c r="Z1619" t="s">
        <v>73</v>
      </c>
      <c r="AA1619" t="str">
        <f>"14203-1154"</f>
        <v>14203-1154</v>
      </c>
      <c r="AB1619" t="s">
        <v>74</v>
      </c>
      <c r="AC1619" t="s">
        <v>75</v>
      </c>
      <c r="AD1619" t="s">
        <v>72</v>
      </c>
      <c r="AE1619" t="s">
        <v>76</v>
      </c>
      <c r="AF1619" t="s">
        <v>3961</v>
      </c>
      <c r="AG1619" t="s">
        <v>77</v>
      </c>
    </row>
    <row r="1620" spans="1:33" x14ac:dyDescent="0.25">
      <c r="A1620" t="str">
        <f>"1306840046"</f>
        <v>1306840046</v>
      </c>
      <c r="B1620" t="str">
        <f>"01031272"</f>
        <v>01031272</v>
      </c>
      <c r="C1620" t="s">
        <v>9216</v>
      </c>
      <c r="D1620" t="s">
        <v>9217</v>
      </c>
      <c r="E1620" t="s">
        <v>9218</v>
      </c>
      <c r="G1620" t="s">
        <v>9219</v>
      </c>
      <c r="H1620" t="s">
        <v>1523</v>
      </c>
      <c r="J1620" t="s">
        <v>9220</v>
      </c>
      <c r="L1620" t="s">
        <v>79</v>
      </c>
      <c r="M1620" t="s">
        <v>72</v>
      </c>
      <c r="R1620" t="s">
        <v>9221</v>
      </c>
      <c r="W1620" t="s">
        <v>9218</v>
      </c>
      <c r="X1620" t="s">
        <v>234</v>
      </c>
      <c r="Y1620" t="s">
        <v>117</v>
      </c>
      <c r="Z1620" t="s">
        <v>73</v>
      </c>
      <c r="AA1620" t="str">
        <f>"14220-2039"</f>
        <v>14220-2039</v>
      </c>
      <c r="AB1620" t="s">
        <v>74</v>
      </c>
      <c r="AC1620" t="s">
        <v>75</v>
      </c>
      <c r="AD1620" t="s">
        <v>72</v>
      </c>
      <c r="AE1620" t="s">
        <v>76</v>
      </c>
      <c r="AF1620" t="s">
        <v>3974</v>
      </c>
      <c r="AG1620" t="s">
        <v>77</v>
      </c>
    </row>
    <row r="1621" spans="1:33" x14ac:dyDescent="0.25">
      <c r="A1621" t="str">
        <f>"1134142185"</f>
        <v>1134142185</v>
      </c>
      <c r="B1621" t="str">
        <f>"03254313"</f>
        <v>03254313</v>
      </c>
      <c r="C1621" t="s">
        <v>9222</v>
      </c>
      <c r="D1621" t="s">
        <v>9223</v>
      </c>
      <c r="E1621" t="s">
        <v>9224</v>
      </c>
      <c r="G1621" t="s">
        <v>4775</v>
      </c>
      <c r="H1621" t="s">
        <v>4776</v>
      </c>
      <c r="J1621" t="s">
        <v>4777</v>
      </c>
      <c r="L1621" t="s">
        <v>79</v>
      </c>
      <c r="M1621" t="s">
        <v>72</v>
      </c>
      <c r="R1621" t="s">
        <v>9224</v>
      </c>
      <c r="W1621" t="s">
        <v>9225</v>
      </c>
      <c r="X1621" t="s">
        <v>187</v>
      </c>
      <c r="Y1621" t="s">
        <v>188</v>
      </c>
      <c r="Z1621" t="s">
        <v>73</v>
      </c>
      <c r="AA1621" t="str">
        <f>"14092-1903"</f>
        <v>14092-1903</v>
      </c>
      <c r="AB1621" t="s">
        <v>74</v>
      </c>
      <c r="AC1621" t="s">
        <v>75</v>
      </c>
      <c r="AD1621" t="s">
        <v>72</v>
      </c>
      <c r="AE1621" t="s">
        <v>76</v>
      </c>
      <c r="AF1621" t="s">
        <v>3974</v>
      </c>
      <c r="AG1621" t="s">
        <v>77</v>
      </c>
    </row>
    <row r="1622" spans="1:33" x14ac:dyDescent="0.25">
      <c r="A1622" t="str">
        <f>"1639141633"</f>
        <v>1639141633</v>
      </c>
      <c r="B1622" t="str">
        <f>"02613252"</f>
        <v>02613252</v>
      </c>
      <c r="C1622" t="s">
        <v>9226</v>
      </c>
      <c r="D1622" t="s">
        <v>2759</v>
      </c>
      <c r="E1622" t="s">
        <v>2760</v>
      </c>
      <c r="G1622" t="s">
        <v>4739</v>
      </c>
      <c r="H1622" t="s">
        <v>2761</v>
      </c>
      <c r="J1622" t="s">
        <v>4740</v>
      </c>
      <c r="L1622" t="s">
        <v>80</v>
      </c>
      <c r="M1622" t="s">
        <v>72</v>
      </c>
      <c r="R1622" t="s">
        <v>2760</v>
      </c>
      <c r="W1622" t="s">
        <v>2760</v>
      </c>
      <c r="X1622" t="s">
        <v>169</v>
      </c>
      <c r="Y1622" t="s">
        <v>117</v>
      </c>
      <c r="Z1622" t="s">
        <v>73</v>
      </c>
      <c r="AA1622" t="str">
        <f>"14209-1120"</f>
        <v>14209-1120</v>
      </c>
      <c r="AB1622" t="s">
        <v>74</v>
      </c>
      <c r="AC1622" t="s">
        <v>75</v>
      </c>
      <c r="AD1622" t="s">
        <v>72</v>
      </c>
      <c r="AE1622" t="s">
        <v>76</v>
      </c>
      <c r="AG1622" t="s">
        <v>77</v>
      </c>
    </row>
    <row r="1623" spans="1:33" x14ac:dyDescent="0.25">
      <c r="A1623" t="str">
        <f>"1356335194"</f>
        <v>1356335194</v>
      </c>
      <c r="B1623" t="str">
        <f>"00611532"</f>
        <v>00611532</v>
      </c>
      <c r="C1623" t="s">
        <v>9227</v>
      </c>
      <c r="D1623" t="s">
        <v>1044</v>
      </c>
      <c r="E1623" t="s">
        <v>1045</v>
      </c>
      <c r="G1623" t="s">
        <v>5431</v>
      </c>
      <c r="H1623" t="s">
        <v>1046</v>
      </c>
      <c r="J1623" t="s">
        <v>5432</v>
      </c>
      <c r="L1623" t="s">
        <v>79</v>
      </c>
      <c r="M1623" t="s">
        <v>72</v>
      </c>
      <c r="R1623" t="s">
        <v>1047</v>
      </c>
      <c r="W1623" t="s">
        <v>1045</v>
      </c>
      <c r="X1623" t="s">
        <v>1048</v>
      </c>
      <c r="Y1623" t="s">
        <v>117</v>
      </c>
      <c r="Z1623" t="s">
        <v>73</v>
      </c>
      <c r="AA1623" t="str">
        <f>"14215-1433"</f>
        <v>14215-1433</v>
      </c>
      <c r="AB1623" t="s">
        <v>74</v>
      </c>
      <c r="AC1623" t="s">
        <v>75</v>
      </c>
      <c r="AD1623" t="s">
        <v>72</v>
      </c>
      <c r="AE1623" t="s">
        <v>76</v>
      </c>
      <c r="AF1623" t="s">
        <v>3961</v>
      </c>
      <c r="AG1623" t="s">
        <v>77</v>
      </c>
    </row>
    <row r="1624" spans="1:33" x14ac:dyDescent="0.25">
      <c r="A1624" t="str">
        <f>"1619962560"</f>
        <v>1619962560</v>
      </c>
      <c r="B1624" t="str">
        <f>"01608002"</f>
        <v>01608002</v>
      </c>
      <c r="C1624" t="s">
        <v>9228</v>
      </c>
      <c r="D1624" t="s">
        <v>1806</v>
      </c>
      <c r="E1624" t="s">
        <v>1807</v>
      </c>
      <c r="G1624" t="s">
        <v>5498</v>
      </c>
      <c r="H1624" t="s">
        <v>1808</v>
      </c>
      <c r="J1624" t="s">
        <v>5499</v>
      </c>
      <c r="L1624" t="s">
        <v>79</v>
      </c>
      <c r="M1624" t="s">
        <v>72</v>
      </c>
      <c r="R1624" t="s">
        <v>1809</v>
      </c>
      <c r="W1624" t="s">
        <v>1810</v>
      </c>
      <c r="X1624" t="s">
        <v>1209</v>
      </c>
      <c r="Y1624" t="s">
        <v>237</v>
      </c>
      <c r="Z1624" t="s">
        <v>73</v>
      </c>
      <c r="AA1624" t="str">
        <f>"14224-3444"</f>
        <v>14224-3444</v>
      </c>
      <c r="AB1624" t="s">
        <v>74</v>
      </c>
      <c r="AC1624" t="s">
        <v>75</v>
      </c>
      <c r="AD1624" t="s">
        <v>72</v>
      </c>
      <c r="AE1624" t="s">
        <v>76</v>
      </c>
      <c r="AF1624" t="s">
        <v>3974</v>
      </c>
      <c r="AG1624" t="s">
        <v>77</v>
      </c>
    </row>
    <row r="1625" spans="1:33" x14ac:dyDescent="0.25">
      <c r="A1625" t="str">
        <f>"1043262827"</f>
        <v>1043262827</v>
      </c>
      <c r="B1625" t="str">
        <f>"02273201"</f>
        <v>02273201</v>
      </c>
      <c r="C1625" t="s">
        <v>9229</v>
      </c>
      <c r="D1625" t="s">
        <v>2992</v>
      </c>
      <c r="E1625" t="s">
        <v>2993</v>
      </c>
      <c r="G1625" t="s">
        <v>9229</v>
      </c>
      <c r="H1625" t="s">
        <v>991</v>
      </c>
      <c r="J1625" t="s">
        <v>9230</v>
      </c>
      <c r="L1625" t="s">
        <v>79</v>
      </c>
      <c r="M1625" t="s">
        <v>72</v>
      </c>
      <c r="R1625" t="s">
        <v>2994</v>
      </c>
      <c r="W1625" t="s">
        <v>2993</v>
      </c>
      <c r="X1625" t="s">
        <v>734</v>
      </c>
      <c r="Y1625" t="s">
        <v>117</v>
      </c>
      <c r="Z1625" t="s">
        <v>73</v>
      </c>
      <c r="AA1625" t="str">
        <f>"14203-1154"</f>
        <v>14203-1154</v>
      </c>
      <c r="AB1625" t="s">
        <v>74</v>
      </c>
      <c r="AC1625" t="s">
        <v>75</v>
      </c>
      <c r="AD1625" t="s">
        <v>72</v>
      </c>
      <c r="AE1625" t="s">
        <v>76</v>
      </c>
      <c r="AF1625" t="s">
        <v>3961</v>
      </c>
      <c r="AG1625" t="s">
        <v>77</v>
      </c>
    </row>
    <row r="1626" spans="1:33" x14ac:dyDescent="0.25">
      <c r="A1626" t="str">
        <f>"1487078564"</f>
        <v>1487078564</v>
      </c>
      <c r="C1626" t="s">
        <v>9231</v>
      </c>
      <c r="K1626" t="s">
        <v>89</v>
      </c>
      <c r="L1626" t="s">
        <v>92</v>
      </c>
      <c r="M1626" t="s">
        <v>72</v>
      </c>
      <c r="R1626" t="s">
        <v>9232</v>
      </c>
      <c r="S1626" t="s">
        <v>204</v>
      </c>
      <c r="T1626" t="s">
        <v>117</v>
      </c>
      <c r="U1626" t="s">
        <v>73</v>
      </c>
      <c r="V1626" t="str">
        <f>"142630001"</f>
        <v>142630001</v>
      </c>
      <c r="AC1626" t="s">
        <v>75</v>
      </c>
      <c r="AD1626" t="s">
        <v>72</v>
      </c>
      <c r="AE1626" t="s">
        <v>93</v>
      </c>
      <c r="AF1626" t="s">
        <v>4043</v>
      </c>
      <c r="AG1626" t="s">
        <v>77</v>
      </c>
    </row>
    <row r="1627" spans="1:33" x14ac:dyDescent="0.25">
      <c r="A1627" t="str">
        <f>"1083611347"</f>
        <v>1083611347</v>
      </c>
      <c r="B1627" t="str">
        <f>"01986007"</f>
        <v>01986007</v>
      </c>
      <c r="C1627" t="s">
        <v>9233</v>
      </c>
      <c r="D1627" t="s">
        <v>9234</v>
      </c>
      <c r="E1627" t="s">
        <v>9235</v>
      </c>
      <c r="L1627" t="s">
        <v>71</v>
      </c>
      <c r="M1627" t="s">
        <v>72</v>
      </c>
      <c r="R1627" t="s">
        <v>9235</v>
      </c>
      <c r="W1627" t="s">
        <v>9235</v>
      </c>
      <c r="X1627" t="s">
        <v>9236</v>
      </c>
      <c r="Y1627" t="s">
        <v>117</v>
      </c>
      <c r="Z1627" t="s">
        <v>73</v>
      </c>
      <c r="AA1627" t="str">
        <f>"14263-0001"</f>
        <v>14263-0001</v>
      </c>
      <c r="AB1627" t="s">
        <v>105</v>
      </c>
      <c r="AC1627" t="s">
        <v>75</v>
      </c>
      <c r="AD1627" t="s">
        <v>72</v>
      </c>
      <c r="AE1627" t="s">
        <v>76</v>
      </c>
      <c r="AF1627" t="s">
        <v>4043</v>
      </c>
      <c r="AG1627" t="s">
        <v>77</v>
      </c>
    </row>
    <row r="1628" spans="1:33" x14ac:dyDescent="0.25">
      <c r="A1628" t="str">
        <f>"1710158571"</f>
        <v>1710158571</v>
      </c>
      <c r="C1628" t="s">
        <v>9237</v>
      </c>
      <c r="K1628" t="s">
        <v>89</v>
      </c>
      <c r="L1628" t="s">
        <v>92</v>
      </c>
      <c r="M1628" t="s">
        <v>72</v>
      </c>
      <c r="R1628" t="s">
        <v>3946</v>
      </c>
      <c r="S1628" t="s">
        <v>204</v>
      </c>
      <c r="T1628" t="s">
        <v>117</v>
      </c>
      <c r="U1628" t="s">
        <v>73</v>
      </c>
      <c r="V1628" t="str">
        <f t="shared" ref="V1628:V1633" si="15">"142630001"</f>
        <v>142630001</v>
      </c>
      <c r="AC1628" t="s">
        <v>75</v>
      </c>
      <c r="AD1628" t="s">
        <v>72</v>
      </c>
      <c r="AE1628" t="s">
        <v>93</v>
      </c>
      <c r="AF1628" t="s">
        <v>4043</v>
      </c>
      <c r="AG1628" t="s">
        <v>77</v>
      </c>
    </row>
    <row r="1629" spans="1:33" x14ac:dyDescent="0.25">
      <c r="A1629" t="str">
        <f>"1386663748"</f>
        <v>1386663748</v>
      </c>
      <c r="C1629" t="s">
        <v>9238</v>
      </c>
      <c r="K1629" t="s">
        <v>89</v>
      </c>
      <c r="L1629" t="s">
        <v>71</v>
      </c>
      <c r="M1629" t="s">
        <v>72</v>
      </c>
      <c r="R1629" t="s">
        <v>9239</v>
      </c>
      <c r="S1629" t="s">
        <v>204</v>
      </c>
      <c r="T1629" t="s">
        <v>117</v>
      </c>
      <c r="U1629" t="s">
        <v>73</v>
      </c>
      <c r="V1629" t="str">
        <f t="shared" si="15"/>
        <v>142630001</v>
      </c>
      <c r="AC1629" t="s">
        <v>75</v>
      </c>
      <c r="AD1629" t="s">
        <v>72</v>
      </c>
      <c r="AE1629" t="s">
        <v>93</v>
      </c>
      <c r="AF1629" t="s">
        <v>4043</v>
      </c>
      <c r="AG1629" t="s">
        <v>77</v>
      </c>
    </row>
    <row r="1630" spans="1:33" x14ac:dyDescent="0.25">
      <c r="A1630" t="str">
        <f>"1700862158"</f>
        <v>1700862158</v>
      </c>
      <c r="C1630" t="s">
        <v>9240</v>
      </c>
      <c r="K1630" t="s">
        <v>89</v>
      </c>
      <c r="L1630" t="s">
        <v>92</v>
      </c>
      <c r="M1630" t="s">
        <v>72</v>
      </c>
      <c r="R1630" t="s">
        <v>9241</v>
      </c>
      <c r="S1630" t="s">
        <v>204</v>
      </c>
      <c r="T1630" t="s">
        <v>117</v>
      </c>
      <c r="U1630" t="s">
        <v>73</v>
      </c>
      <c r="V1630" t="str">
        <f t="shared" si="15"/>
        <v>142630001</v>
      </c>
      <c r="AC1630" t="s">
        <v>75</v>
      </c>
      <c r="AD1630" t="s">
        <v>72</v>
      </c>
      <c r="AE1630" t="s">
        <v>93</v>
      </c>
      <c r="AF1630" t="s">
        <v>4043</v>
      </c>
      <c r="AG1630" t="s">
        <v>77</v>
      </c>
    </row>
    <row r="1631" spans="1:33" x14ac:dyDescent="0.25">
      <c r="A1631" t="str">
        <f>"1699860197"</f>
        <v>1699860197</v>
      </c>
      <c r="C1631" t="s">
        <v>9242</v>
      </c>
      <c r="K1631" t="s">
        <v>89</v>
      </c>
      <c r="L1631" t="s">
        <v>92</v>
      </c>
      <c r="M1631" t="s">
        <v>72</v>
      </c>
      <c r="R1631" t="s">
        <v>9243</v>
      </c>
      <c r="S1631" t="s">
        <v>204</v>
      </c>
      <c r="T1631" t="s">
        <v>117</v>
      </c>
      <c r="U1631" t="s">
        <v>73</v>
      </c>
      <c r="V1631" t="str">
        <f t="shared" si="15"/>
        <v>142630001</v>
      </c>
      <c r="AC1631" t="s">
        <v>75</v>
      </c>
      <c r="AD1631" t="s">
        <v>72</v>
      </c>
      <c r="AE1631" t="s">
        <v>93</v>
      </c>
      <c r="AF1631" t="s">
        <v>4043</v>
      </c>
      <c r="AG1631" t="s">
        <v>77</v>
      </c>
    </row>
    <row r="1632" spans="1:33" x14ac:dyDescent="0.25">
      <c r="A1632" t="str">
        <f>"1144206590"</f>
        <v>1144206590</v>
      </c>
      <c r="C1632" t="s">
        <v>9244</v>
      </c>
      <c r="K1632" t="s">
        <v>89</v>
      </c>
      <c r="L1632" t="s">
        <v>92</v>
      </c>
      <c r="M1632" t="s">
        <v>72</v>
      </c>
      <c r="R1632" t="s">
        <v>9245</v>
      </c>
      <c r="S1632" t="s">
        <v>204</v>
      </c>
      <c r="T1632" t="s">
        <v>117</v>
      </c>
      <c r="U1632" t="s">
        <v>73</v>
      </c>
      <c r="V1632" t="str">
        <f t="shared" si="15"/>
        <v>142630001</v>
      </c>
      <c r="AC1632" t="s">
        <v>75</v>
      </c>
      <c r="AD1632" t="s">
        <v>72</v>
      </c>
      <c r="AE1632" t="s">
        <v>93</v>
      </c>
      <c r="AF1632" t="s">
        <v>4043</v>
      </c>
      <c r="AG1632" t="s">
        <v>77</v>
      </c>
    </row>
    <row r="1633" spans="1:33" x14ac:dyDescent="0.25">
      <c r="A1633" t="str">
        <f>"1598986119"</f>
        <v>1598986119</v>
      </c>
      <c r="C1633" t="s">
        <v>9246</v>
      </c>
      <c r="K1633" t="s">
        <v>89</v>
      </c>
      <c r="L1633" t="s">
        <v>92</v>
      </c>
      <c r="M1633" t="s">
        <v>72</v>
      </c>
      <c r="R1633" t="s">
        <v>9247</v>
      </c>
      <c r="S1633" t="s">
        <v>204</v>
      </c>
      <c r="T1633" t="s">
        <v>117</v>
      </c>
      <c r="U1633" t="s">
        <v>73</v>
      </c>
      <c r="V1633" t="str">
        <f t="shared" si="15"/>
        <v>142630001</v>
      </c>
      <c r="AC1633" t="s">
        <v>75</v>
      </c>
      <c r="AD1633" t="s">
        <v>72</v>
      </c>
      <c r="AE1633" t="s">
        <v>93</v>
      </c>
      <c r="AF1633" t="s">
        <v>4043</v>
      </c>
      <c r="AG1633" t="s">
        <v>77</v>
      </c>
    </row>
    <row r="1634" spans="1:33" x14ac:dyDescent="0.25">
      <c r="A1634" t="str">
        <f>"1629089826"</f>
        <v>1629089826</v>
      </c>
      <c r="B1634" t="str">
        <f>"02818317"</f>
        <v>02818317</v>
      </c>
      <c r="C1634" t="s">
        <v>9248</v>
      </c>
      <c r="D1634" t="s">
        <v>9249</v>
      </c>
      <c r="E1634" t="s">
        <v>9250</v>
      </c>
      <c r="L1634" t="s">
        <v>71</v>
      </c>
      <c r="M1634" t="s">
        <v>72</v>
      </c>
      <c r="R1634" t="s">
        <v>9251</v>
      </c>
      <c r="W1634" t="s">
        <v>9252</v>
      </c>
      <c r="X1634" t="s">
        <v>204</v>
      </c>
      <c r="Y1634" t="s">
        <v>117</v>
      </c>
      <c r="Z1634" t="s">
        <v>73</v>
      </c>
      <c r="AA1634" t="str">
        <f>"14263-0001"</f>
        <v>14263-0001</v>
      </c>
      <c r="AB1634" t="s">
        <v>78</v>
      </c>
      <c r="AC1634" t="s">
        <v>75</v>
      </c>
      <c r="AD1634" t="s">
        <v>72</v>
      </c>
      <c r="AE1634" t="s">
        <v>76</v>
      </c>
      <c r="AF1634" t="s">
        <v>4043</v>
      </c>
      <c r="AG1634" t="s">
        <v>77</v>
      </c>
    </row>
    <row r="1635" spans="1:33" x14ac:dyDescent="0.25">
      <c r="A1635" t="str">
        <f>"1811978257"</f>
        <v>1811978257</v>
      </c>
      <c r="B1635" t="str">
        <f>"00665009"</f>
        <v>00665009</v>
      </c>
      <c r="C1635" t="s">
        <v>9253</v>
      </c>
      <c r="D1635" t="s">
        <v>9254</v>
      </c>
      <c r="E1635" t="s">
        <v>9255</v>
      </c>
      <c r="L1635" t="s">
        <v>79</v>
      </c>
      <c r="M1635" t="s">
        <v>72</v>
      </c>
      <c r="R1635" t="s">
        <v>9256</v>
      </c>
      <c r="W1635" t="s">
        <v>9257</v>
      </c>
      <c r="X1635" t="s">
        <v>161</v>
      </c>
      <c r="Y1635" t="s">
        <v>117</v>
      </c>
      <c r="Z1635" t="s">
        <v>73</v>
      </c>
      <c r="AA1635" t="str">
        <f>"14201-1510"</f>
        <v>14201-1510</v>
      </c>
      <c r="AB1635" t="s">
        <v>78</v>
      </c>
      <c r="AC1635" t="s">
        <v>75</v>
      </c>
      <c r="AD1635" t="s">
        <v>72</v>
      </c>
      <c r="AE1635" t="s">
        <v>76</v>
      </c>
      <c r="AF1635" t="s">
        <v>4043</v>
      </c>
      <c r="AG1635" t="s">
        <v>77</v>
      </c>
    </row>
    <row r="1636" spans="1:33" x14ac:dyDescent="0.25">
      <c r="A1636" t="str">
        <f>"1558448654"</f>
        <v>1558448654</v>
      </c>
      <c r="B1636" t="str">
        <f>"03163971"</f>
        <v>03163971</v>
      </c>
      <c r="C1636" t="s">
        <v>9258</v>
      </c>
      <c r="D1636" t="s">
        <v>1250</v>
      </c>
      <c r="E1636" t="s">
        <v>1251</v>
      </c>
      <c r="L1636" t="s">
        <v>71</v>
      </c>
      <c r="M1636" t="s">
        <v>72</v>
      </c>
      <c r="R1636" t="s">
        <v>1252</v>
      </c>
      <c r="W1636" t="s">
        <v>1253</v>
      </c>
      <c r="X1636" t="s">
        <v>1254</v>
      </c>
      <c r="Y1636" t="s">
        <v>240</v>
      </c>
      <c r="Z1636" t="s">
        <v>73</v>
      </c>
      <c r="AA1636" t="str">
        <f>"14094-5376"</f>
        <v>14094-5376</v>
      </c>
      <c r="AB1636" t="s">
        <v>78</v>
      </c>
      <c r="AC1636" t="s">
        <v>75</v>
      </c>
      <c r="AD1636" t="s">
        <v>72</v>
      </c>
      <c r="AE1636" t="s">
        <v>76</v>
      </c>
      <c r="AF1636" t="s">
        <v>4043</v>
      </c>
      <c r="AG1636" t="s">
        <v>77</v>
      </c>
    </row>
    <row r="1637" spans="1:33" x14ac:dyDescent="0.25">
      <c r="A1637" t="str">
        <f>"1679770523"</f>
        <v>1679770523</v>
      </c>
      <c r="B1637" t="str">
        <f>"03051067"</f>
        <v>03051067</v>
      </c>
      <c r="C1637" t="s">
        <v>9259</v>
      </c>
      <c r="D1637" t="s">
        <v>380</v>
      </c>
      <c r="E1637" t="s">
        <v>381</v>
      </c>
      <c r="L1637" t="s">
        <v>71</v>
      </c>
      <c r="M1637" t="s">
        <v>81</v>
      </c>
      <c r="R1637" t="s">
        <v>381</v>
      </c>
      <c r="W1637" t="s">
        <v>381</v>
      </c>
      <c r="X1637" t="s">
        <v>201</v>
      </c>
      <c r="Y1637" t="s">
        <v>111</v>
      </c>
      <c r="Z1637" t="s">
        <v>73</v>
      </c>
      <c r="AA1637" t="str">
        <f>"14621-3095"</f>
        <v>14621-3095</v>
      </c>
      <c r="AB1637" t="s">
        <v>78</v>
      </c>
      <c r="AC1637" t="s">
        <v>75</v>
      </c>
      <c r="AD1637" t="s">
        <v>72</v>
      </c>
      <c r="AE1637" t="s">
        <v>76</v>
      </c>
      <c r="AF1637" t="s">
        <v>4043</v>
      </c>
      <c r="AG1637" t="s">
        <v>77</v>
      </c>
    </row>
    <row r="1638" spans="1:33" x14ac:dyDescent="0.25">
      <c r="A1638" t="str">
        <f>"1104073964"</f>
        <v>1104073964</v>
      </c>
      <c r="B1638" t="str">
        <f>"03096375"</f>
        <v>03096375</v>
      </c>
      <c r="C1638" t="s">
        <v>9260</v>
      </c>
      <c r="D1638" t="s">
        <v>9261</v>
      </c>
      <c r="E1638" t="s">
        <v>9262</v>
      </c>
      <c r="L1638" t="s">
        <v>79</v>
      </c>
      <c r="M1638" t="s">
        <v>72</v>
      </c>
      <c r="R1638" t="s">
        <v>9262</v>
      </c>
      <c r="W1638" t="s">
        <v>9263</v>
      </c>
      <c r="X1638" t="s">
        <v>204</v>
      </c>
      <c r="Y1638" t="s">
        <v>117</v>
      </c>
      <c r="Z1638" t="s">
        <v>73</v>
      </c>
      <c r="AA1638" t="str">
        <f>"14263-0001"</f>
        <v>14263-0001</v>
      </c>
      <c r="AB1638" t="s">
        <v>78</v>
      </c>
      <c r="AC1638" t="s">
        <v>75</v>
      </c>
      <c r="AD1638" t="s">
        <v>72</v>
      </c>
      <c r="AE1638" t="s">
        <v>76</v>
      </c>
      <c r="AF1638" t="s">
        <v>4043</v>
      </c>
      <c r="AG1638" t="s">
        <v>77</v>
      </c>
    </row>
    <row r="1639" spans="1:33" x14ac:dyDescent="0.25">
      <c r="A1639" t="str">
        <f>"1861498750"</f>
        <v>1861498750</v>
      </c>
      <c r="B1639" t="str">
        <f>"01436011"</f>
        <v>01436011</v>
      </c>
      <c r="C1639" t="s">
        <v>9264</v>
      </c>
      <c r="D1639" t="s">
        <v>3479</v>
      </c>
      <c r="E1639" t="s">
        <v>3480</v>
      </c>
      <c r="L1639" t="s">
        <v>79</v>
      </c>
      <c r="M1639" t="s">
        <v>72</v>
      </c>
      <c r="R1639" t="s">
        <v>3481</v>
      </c>
      <c r="W1639" t="s">
        <v>3480</v>
      </c>
      <c r="X1639" t="s">
        <v>3011</v>
      </c>
      <c r="Y1639" t="s">
        <v>117</v>
      </c>
      <c r="Z1639" t="s">
        <v>73</v>
      </c>
      <c r="AA1639" t="str">
        <f>"14263-0001"</f>
        <v>14263-0001</v>
      </c>
      <c r="AB1639" t="s">
        <v>74</v>
      </c>
      <c r="AC1639" t="s">
        <v>75</v>
      </c>
      <c r="AD1639" t="s">
        <v>72</v>
      </c>
      <c r="AE1639" t="s">
        <v>76</v>
      </c>
      <c r="AF1639" t="s">
        <v>4043</v>
      </c>
      <c r="AG1639" t="s">
        <v>77</v>
      </c>
    </row>
    <row r="1640" spans="1:33" x14ac:dyDescent="0.25">
      <c r="A1640" t="str">
        <f>"1942649165"</f>
        <v>1942649165</v>
      </c>
      <c r="B1640" t="str">
        <f>"03622593"</f>
        <v>03622593</v>
      </c>
      <c r="C1640" t="s">
        <v>9265</v>
      </c>
      <c r="D1640" t="s">
        <v>9266</v>
      </c>
      <c r="E1640" t="s">
        <v>9267</v>
      </c>
      <c r="L1640" t="s">
        <v>71</v>
      </c>
      <c r="M1640" t="s">
        <v>72</v>
      </c>
      <c r="R1640" t="s">
        <v>9267</v>
      </c>
      <c r="W1640" t="s">
        <v>9267</v>
      </c>
      <c r="X1640" t="s">
        <v>204</v>
      </c>
      <c r="Y1640" t="s">
        <v>117</v>
      </c>
      <c r="Z1640" t="s">
        <v>73</v>
      </c>
      <c r="AA1640" t="str">
        <f>"14263-0001"</f>
        <v>14263-0001</v>
      </c>
      <c r="AB1640" t="s">
        <v>74</v>
      </c>
      <c r="AC1640" t="s">
        <v>75</v>
      </c>
      <c r="AD1640" t="s">
        <v>72</v>
      </c>
      <c r="AE1640" t="s">
        <v>76</v>
      </c>
      <c r="AF1640" t="s">
        <v>4043</v>
      </c>
      <c r="AG1640" t="s">
        <v>77</v>
      </c>
    </row>
    <row r="1641" spans="1:33" x14ac:dyDescent="0.25">
      <c r="A1641" t="str">
        <f>"1730322090"</f>
        <v>1730322090</v>
      </c>
      <c r="B1641" t="str">
        <f>"03103899"</f>
        <v>03103899</v>
      </c>
      <c r="C1641" t="s">
        <v>9268</v>
      </c>
      <c r="D1641" t="s">
        <v>9269</v>
      </c>
      <c r="E1641" t="s">
        <v>9270</v>
      </c>
      <c r="L1641" t="s">
        <v>79</v>
      </c>
      <c r="M1641" t="s">
        <v>72</v>
      </c>
      <c r="R1641" t="s">
        <v>9271</v>
      </c>
      <c r="W1641" t="s">
        <v>9270</v>
      </c>
      <c r="X1641" t="s">
        <v>204</v>
      </c>
      <c r="Y1641" t="s">
        <v>117</v>
      </c>
      <c r="Z1641" t="s">
        <v>73</v>
      </c>
      <c r="AA1641" t="str">
        <f>"14263-0001"</f>
        <v>14263-0001</v>
      </c>
      <c r="AB1641" t="s">
        <v>74</v>
      </c>
      <c r="AC1641" t="s">
        <v>75</v>
      </c>
      <c r="AD1641" t="s">
        <v>72</v>
      </c>
      <c r="AE1641" t="s">
        <v>76</v>
      </c>
      <c r="AF1641" t="s">
        <v>4043</v>
      </c>
      <c r="AG1641" t="s">
        <v>77</v>
      </c>
    </row>
    <row r="1642" spans="1:33" x14ac:dyDescent="0.25">
      <c r="A1642" t="str">
        <f>"1942484159"</f>
        <v>1942484159</v>
      </c>
      <c r="B1642" t="str">
        <f>"03524009"</f>
        <v>03524009</v>
      </c>
      <c r="C1642" t="s">
        <v>9272</v>
      </c>
      <c r="D1642" t="s">
        <v>3261</v>
      </c>
      <c r="E1642" t="s">
        <v>3262</v>
      </c>
      <c r="G1642" t="s">
        <v>5164</v>
      </c>
      <c r="H1642" t="s">
        <v>5165</v>
      </c>
      <c r="J1642" t="s">
        <v>5166</v>
      </c>
      <c r="L1642" t="s">
        <v>79</v>
      </c>
      <c r="M1642" t="s">
        <v>72</v>
      </c>
      <c r="R1642" t="s">
        <v>3263</v>
      </c>
      <c r="W1642" t="s">
        <v>3262</v>
      </c>
      <c r="X1642" t="s">
        <v>219</v>
      </c>
      <c r="Y1642" t="s">
        <v>117</v>
      </c>
      <c r="Z1642" t="s">
        <v>73</v>
      </c>
      <c r="AA1642" t="str">
        <f>"14203-1149"</f>
        <v>14203-1149</v>
      </c>
      <c r="AB1642" t="s">
        <v>74</v>
      </c>
      <c r="AC1642" t="s">
        <v>75</v>
      </c>
      <c r="AD1642" t="s">
        <v>72</v>
      </c>
      <c r="AE1642" t="s">
        <v>76</v>
      </c>
      <c r="AG1642" t="s">
        <v>77</v>
      </c>
    </row>
    <row r="1643" spans="1:33" x14ac:dyDescent="0.25">
      <c r="A1643" t="str">
        <f>"1801862776"</f>
        <v>1801862776</v>
      </c>
      <c r="B1643" t="str">
        <f>"01442786"</f>
        <v>01442786</v>
      </c>
      <c r="C1643" t="s">
        <v>9273</v>
      </c>
      <c r="D1643" t="s">
        <v>3703</v>
      </c>
      <c r="E1643" t="s">
        <v>3704</v>
      </c>
      <c r="G1643" t="s">
        <v>9273</v>
      </c>
      <c r="H1643" t="s">
        <v>2615</v>
      </c>
      <c r="J1643" t="s">
        <v>9274</v>
      </c>
      <c r="L1643" t="s">
        <v>79</v>
      </c>
      <c r="M1643" t="s">
        <v>72</v>
      </c>
      <c r="R1643" t="s">
        <v>3705</v>
      </c>
      <c r="W1643" t="s">
        <v>3704</v>
      </c>
      <c r="X1643" t="s">
        <v>243</v>
      </c>
      <c r="Y1643" t="s">
        <v>117</v>
      </c>
      <c r="Z1643" t="s">
        <v>73</v>
      </c>
      <c r="AA1643" t="str">
        <f>"14203-1126"</f>
        <v>14203-1126</v>
      </c>
      <c r="AB1643" t="s">
        <v>74</v>
      </c>
      <c r="AC1643" t="s">
        <v>75</v>
      </c>
      <c r="AD1643" t="s">
        <v>72</v>
      </c>
      <c r="AE1643" t="s">
        <v>76</v>
      </c>
      <c r="AF1643" t="s">
        <v>3974</v>
      </c>
      <c r="AG1643" t="s">
        <v>77</v>
      </c>
    </row>
    <row r="1644" spans="1:33" x14ac:dyDescent="0.25">
      <c r="A1644" t="str">
        <f>"1235391244"</f>
        <v>1235391244</v>
      </c>
      <c r="B1644" t="str">
        <f>"03328594"</f>
        <v>03328594</v>
      </c>
      <c r="C1644" t="s">
        <v>9275</v>
      </c>
      <c r="D1644" t="s">
        <v>3293</v>
      </c>
      <c r="E1644" t="s">
        <v>3294</v>
      </c>
      <c r="G1644" t="s">
        <v>4786</v>
      </c>
      <c r="H1644" t="s">
        <v>9276</v>
      </c>
      <c r="J1644" t="s">
        <v>4787</v>
      </c>
      <c r="L1644" t="s">
        <v>79</v>
      </c>
      <c r="M1644" t="s">
        <v>72</v>
      </c>
      <c r="R1644" t="s">
        <v>3295</v>
      </c>
      <c r="W1644" t="s">
        <v>3294</v>
      </c>
      <c r="X1644" t="s">
        <v>1884</v>
      </c>
      <c r="Y1644" t="s">
        <v>3296</v>
      </c>
      <c r="Z1644" t="s">
        <v>73</v>
      </c>
      <c r="AA1644" t="str">
        <f>"14132-9224"</f>
        <v>14132-9224</v>
      </c>
      <c r="AB1644" t="s">
        <v>74</v>
      </c>
      <c r="AC1644" t="s">
        <v>75</v>
      </c>
      <c r="AD1644" t="s">
        <v>72</v>
      </c>
      <c r="AE1644" t="s">
        <v>76</v>
      </c>
      <c r="AF1644" t="s">
        <v>3974</v>
      </c>
      <c r="AG1644" t="s">
        <v>77</v>
      </c>
    </row>
    <row r="1645" spans="1:33" x14ac:dyDescent="0.25">
      <c r="A1645" t="str">
        <f>"1528051596"</f>
        <v>1528051596</v>
      </c>
      <c r="B1645" t="str">
        <f>"01397951"</f>
        <v>01397951</v>
      </c>
      <c r="C1645" t="s">
        <v>9277</v>
      </c>
      <c r="D1645" t="s">
        <v>1231</v>
      </c>
      <c r="E1645" t="s">
        <v>1232</v>
      </c>
      <c r="G1645" t="s">
        <v>5151</v>
      </c>
      <c r="H1645" t="s">
        <v>647</v>
      </c>
      <c r="J1645" t="s">
        <v>5152</v>
      </c>
      <c r="L1645" t="s">
        <v>79</v>
      </c>
      <c r="M1645" t="s">
        <v>72</v>
      </c>
      <c r="R1645" t="s">
        <v>1233</v>
      </c>
      <c r="W1645" t="s">
        <v>1232</v>
      </c>
      <c r="X1645" t="s">
        <v>1194</v>
      </c>
      <c r="Y1645" t="s">
        <v>237</v>
      </c>
      <c r="Z1645" t="s">
        <v>73</v>
      </c>
      <c r="AA1645" t="str">
        <f>"14224-2646"</f>
        <v>14224-2646</v>
      </c>
      <c r="AB1645" t="s">
        <v>74</v>
      </c>
      <c r="AC1645" t="s">
        <v>75</v>
      </c>
      <c r="AD1645" t="s">
        <v>72</v>
      </c>
      <c r="AE1645" t="s">
        <v>76</v>
      </c>
      <c r="AF1645" t="s">
        <v>3961</v>
      </c>
      <c r="AG1645" t="s">
        <v>77</v>
      </c>
    </row>
    <row r="1646" spans="1:33" x14ac:dyDescent="0.25">
      <c r="A1646" t="str">
        <f>"1437148087"</f>
        <v>1437148087</v>
      </c>
      <c r="B1646" t="str">
        <f>"01131951"</f>
        <v>01131951</v>
      </c>
      <c r="C1646" t="s">
        <v>9278</v>
      </c>
      <c r="D1646" t="s">
        <v>9279</v>
      </c>
      <c r="E1646" t="s">
        <v>9280</v>
      </c>
      <c r="G1646" t="s">
        <v>4979</v>
      </c>
      <c r="H1646" t="s">
        <v>1123</v>
      </c>
      <c r="J1646" t="s">
        <v>4981</v>
      </c>
      <c r="L1646" t="s">
        <v>84</v>
      </c>
      <c r="M1646" t="s">
        <v>72</v>
      </c>
      <c r="R1646" t="s">
        <v>9281</v>
      </c>
      <c r="W1646" t="s">
        <v>9282</v>
      </c>
      <c r="X1646" t="s">
        <v>9283</v>
      </c>
      <c r="Y1646" t="s">
        <v>247</v>
      </c>
      <c r="Z1646" t="s">
        <v>73</v>
      </c>
      <c r="AA1646" t="str">
        <f>"14227-2294"</f>
        <v>14227-2294</v>
      </c>
      <c r="AB1646" t="s">
        <v>74</v>
      </c>
      <c r="AC1646" t="s">
        <v>75</v>
      </c>
      <c r="AD1646" t="s">
        <v>72</v>
      </c>
      <c r="AE1646" t="s">
        <v>76</v>
      </c>
      <c r="AF1646" t="s">
        <v>3974</v>
      </c>
      <c r="AG1646" t="s">
        <v>77</v>
      </c>
    </row>
    <row r="1647" spans="1:33" x14ac:dyDescent="0.25">
      <c r="A1647" t="str">
        <f>"1740241918"</f>
        <v>1740241918</v>
      </c>
      <c r="B1647" t="str">
        <f>"01477696"</f>
        <v>01477696</v>
      </c>
      <c r="C1647" t="s">
        <v>9284</v>
      </c>
      <c r="D1647" t="s">
        <v>2446</v>
      </c>
      <c r="E1647" t="s">
        <v>2447</v>
      </c>
      <c r="G1647" t="s">
        <v>9284</v>
      </c>
      <c r="H1647" t="s">
        <v>920</v>
      </c>
      <c r="J1647" t="s">
        <v>9285</v>
      </c>
      <c r="L1647" t="s">
        <v>84</v>
      </c>
      <c r="M1647" t="s">
        <v>72</v>
      </c>
      <c r="R1647" t="s">
        <v>2448</v>
      </c>
      <c r="W1647" t="s">
        <v>2447</v>
      </c>
      <c r="X1647" t="s">
        <v>243</v>
      </c>
      <c r="Y1647" t="s">
        <v>117</v>
      </c>
      <c r="Z1647" t="s">
        <v>73</v>
      </c>
      <c r="AA1647" t="str">
        <f>"14203-1126"</f>
        <v>14203-1126</v>
      </c>
      <c r="AB1647" t="s">
        <v>74</v>
      </c>
      <c r="AC1647" t="s">
        <v>75</v>
      </c>
      <c r="AD1647" t="s">
        <v>72</v>
      </c>
      <c r="AE1647" t="s">
        <v>76</v>
      </c>
      <c r="AF1647" t="s">
        <v>3974</v>
      </c>
      <c r="AG1647" t="s">
        <v>77</v>
      </c>
    </row>
    <row r="1648" spans="1:33" x14ac:dyDescent="0.25">
      <c r="A1648" t="str">
        <f>"1083611610"</f>
        <v>1083611610</v>
      </c>
      <c r="B1648" t="str">
        <f>"00569282"</f>
        <v>00569282</v>
      </c>
      <c r="C1648" t="s">
        <v>9286</v>
      </c>
      <c r="D1648" t="s">
        <v>2363</v>
      </c>
      <c r="E1648" t="s">
        <v>2364</v>
      </c>
      <c r="G1648" t="s">
        <v>8861</v>
      </c>
      <c r="H1648" t="s">
        <v>2365</v>
      </c>
      <c r="J1648" t="s">
        <v>8862</v>
      </c>
      <c r="L1648" t="s">
        <v>79</v>
      </c>
      <c r="M1648" t="s">
        <v>72</v>
      </c>
      <c r="R1648" t="s">
        <v>2366</v>
      </c>
      <c r="W1648" t="s">
        <v>2364</v>
      </c>
      <c r="X1648" t="s">
        <v>301</v>
      </c>
      <c r="Y1648" t="s">
        <v>117</v>
      </c>
      <c r="Z1648" t="s">
        <v>73</v>
      </c>
      <c r="AA1648" t="str">
        <f>"14214-2648"</f>
        <v>14214-2648</v>
      </c>
      <c r="AB1648" t="s">
        <v>74</v>
      </c>
      <c r="AC1648" t="s">
        <v>75</v>
      </c>
      <c r="AD1648" t="s">
        <v>72</v>
      </c>
      <c r="AE1648" t="s">
        <v>76</v>
      </c>
      <c r="AF1648" t="s">
        <v>3974</v>
      </c>
      <c r="AG1648" t="s">
        <v>77</v>
      </c>
    </row>
    <row r="1649" spans="1:33" x14ac:dyDescent="0.25">
      <c r="A1649" t="str">
        <f>"1174544860"</f>
        <v>1174544860</v>
      </c>
      <c r="B1649" t="str">
        <f>"00901166"</f>
        <v>00901166</v>
      </c>
      <c r="C1649" t="s">
        <v>9287</v>
      </c>
      <c r="D1649" t="s">
        <v>9288</v>
      </c>
      <c r="E1649" t="s">
        <v>9289</v>
      </c>
      <c r="G1649" t="s">
        <v>5658</v>
      </c>
      <c r="H1649" t="s">
        <v>5659</v>
      </c>
      <c r="J1649" t="s">
        <v>5511</v>
      </c>
      <c r="L1649" t="s">
        <v>79</v>
      </c>
      <c r="M1649" t="s">
        <v>72</v>
      </c>
      <c r="R1649" t="s">
        <v>9290</v>
      </c>
      <c r="W1649" t="s">
        <v>9289</v>
      </c>
      <c r="X1649" t="s">
        <v>9291</v>
      </c>
      <c r="Y1649" t="s">
        <v>117</v>
      </c>
      <c r="Z1649" t="s">
        <v>73</v>
      </c>
      <c r="AA1649" t="str">
        <f>"14222"</f>
        <v>14222</v>
      </c>
      <c r="AB1649" t="s">
        <v>74</v>
      </c>
      <c r="AC1649" t="s">
        <v>75</v>
      </c>
      <c r="AD1649" t="s">
        <v>72</v>
      </c>
      <c r="AE1649" t="s">
        <v>76</v>
      </c>
      <c r="AF1649" t="s">
        <v>3974</v>
      </c>
      <c r="AG1649" t="s">
        <v>77</v>
      </c>
    </row>
    <row r="1650" spans="1:33" x14ac:dyDescent="0.25">
      <c r="A1650" t="str">
        <f>"1194728691"</f>
        <v>1194728691</v>
      </c>
      <c r="B1650" t="str">
        <f>"00358058"</f>
        <v>00358058</v>
      </c>
      <c r="C1650" t="s">
        <v>9292</v>
      </c>
      <c r="D1650" t="s">
        <v>9293</v>
      </c>
      <c r="E1650" t="s">
        <v>9294</v>
      </c>
      <c r="G1650" t="s">
        <v>9295</v>
      </c>
      <c r="H1650" t="s">
        <v>9296</v>
      </c>
      <c r="J1650" t="s">
        <v>9297</v>
      </c>
      <c r="L1650" t="s">
        <v>122</v>
      </c>
      <c r="M1650" t="s">
        <v>72</v>
      </c>
      <c r="R1650" t="s">
        <v>9298</v>
      </c>
      <c r="W1650" t="s">
        <v>9299</v>
      </c>
      <c r="X1650" t="s">
        <v>1890</v>
      </c>
      <c r="Y1650" t="s">
        <v>117</v>
      </c>
      <c r="Z1650" t="s">
        <v>73</v>
      </c>
      <c r="AA1650" t="str">
        <f>"14209-2402"</f>
        <v>14209-2402</v>
      </c>
      <c r="AB1650" t="s">
        <v>86</v>
      </c>
      <c r="AC1650" t="s">
        <v>75</v>
      </c>
      <c r="AD1650" t="s">
        <v>72</v>
      </c>
      <c r="AE1650" t="s">
        <v>76</v>
      </c>
      <c r="AF1650" t="s">
        <v>4879</v>
      </c>
      <c r="AG1650" t="s">
        <v>77</v>
      </c>
    </row>
    <row r="1651" spans="1:33" x14ac:dyDescent="0.25">
      <c r="A1651" t="str">
        <f>"1528400249"</f>
        <v>1528400249</v>
      </c>
      <c r="B1651" t="str">
        <f>"03866584"</f>
        <v>03866584</v>
      </c>
      <c r="C1651" t="s">
        <v>9292</v>
      </c>
      <c r="D1651" t="s">
        <v>9300</v>
      </c>
      <c r="E1651" t="s">
        <v>9299</v>
      </c>
      <c r="G1651" t="s">
        <v>9295</v>
      </c>
      <c r="H1651" t="s">
        <v>9301</v>
      </c>
      <c r="J1651" t="s">
        <v>9297</v>
      </c>
      <c r="L1651" t="s">
        <v>10</v>
      </c>
      <c r="M1651" t="s">
        <v>72</v>
      </c>
      <c r="R1651" t="s">
        <v>9302</v>
      </c>
      <c r="W1651" t="s">
        <v>9303</v>
      </c>
      <c r="X1651" t="s">
        <v>9304</v>
      </c>
      <c r="Y1651" t="s">
        <v>221</v>
      </c>
      <c r="Z1651" t="s">
        <v>73</v>
      </c>
      <c r="AA1651" t="str">
        <f>"14221-5773"</f>
        <v>14221-5773</v>
      </c>
      <c r="AB1651" t="s">
        <v>83</v>
      </c>
      <c r="AC1651" t="s">
        <v>75</v>
      </c>
      <c r="AD1651" t="s">
        <v>72</v>
      </c>
      <c r="AE1651" t="s">
        <v>76</v>
      </c>
      <c r="AF1651" t="s">
        <v>4879</v>
      </c>
      <c r="AG1651" t="s">
        <v>77</v>
      </c>
    </row>
    <row r="1652" spans="1:33" x14ac:dyDescent="0.25">
      <c r="A1652" t="str">
        <f>"1588096382"</f>
        <v>1588096382</v>
      </c>
      <c r="B1652" t="str">
        <f>"03821116"</f>
        <v>03821116</v>
      </c>
      <c r="C1652" t="s">
        <v>9292</v>
      </c>
      <c r="D1652" t="s">
        <v>9305</v>
      </c>
      <c r="E1652" t="s">
        <v>9306</v>
      </c>
      <c r="G1652" t="s">
        <v>9295</v>
      </c>
      <c r="H1652" t="s">
        <v>9307</v>
      </c>
      <c r="J1652" t="s">
        <v>9297</v>
      </c>
      <c r="L1652" t="s">
        <v>10</v>
      </c>
      <c r="M1652" t="s">
        <v>72</v>
      </c>
      <c r="R1652" t="s">
        <v>9306</v>
      </c>
      <c r="W1652" t="s">
        <v>9306</v>
      </c>
      <c r="X1652" t="s">
        <v>1890</v>
      </c>
      <c r="Y1652" t="s">
        <v>117</v>
      </c>
      <c r="Z1652" t="s">
        <v>73</v>
      </c>
      <c r="AA1652" t="str">
        <f>"14209-2402"</f>
        <v>14209-2402</v>
      </c>
      <c r="AB1652" t="s">
        <v>112</v>
      </c>
      <c r="AC1652" t="s">
        <v>75</v>
      </c>
      <c r="AD1652" t="s">
        <v>72</v>
      </c>
      <c r="AE1652" t="s">
        <v>76</v>
      </c>
      <c r="AF1652" t="s">
        <v>4879</v>
      </c>
      <c r="AG1652" t="s">
        <v>77</v>
      </c>
    </row>
    <row r="1653" spans="1:33" x14ac:dyDescent="0.25">
      <c r="A1653" t="str">
        <f>"1144351255"</f>
        <v>1144351255</v>
      </c>
      <c r="B1653" t="str">
        <f>"02994301"</f>
        <v>02994301</v>
      </c>
      <c r="C1653" t="s">
        <v>9308</v>
      </c>
      <c r="D1653" t="s">
        <v>2921</v>
      </c>
      <c r="E1653" t="s">
        <v>2922</v>
      </c>
      <c r="G1653" t="s">
        <v>9309</v>
      </c>
      <c r="H1653" t="s">
        <v>9310</v>
      </c>
      <c r="J1653" t="s">
        <v>9311</v>
      </c>
      <c r="L1653" t="s">
        <v>170</v>
      </c>
      <c r="M1653" t="s">
        <v>81</v>
      </c>
      <c r="R1653" t="s">
        <v>2920</v>
      </c>
      <c r="W1653" t="s">
        <v>2923</v>
      </c>
      <c r="X1653" t="s">
        <v>2924</v>
      </c>
      <c r="Y1653" t="s">
        <v>117</v>
      </c>
      <c r="Z1653" t="s">
        <v>73</v>
      </c>
      <c r="AA1653" t="str">
        <f>"14222-2209"</f>
        <v>14222-2209</v>
      </c>
      <c r="AB1653" t="s">
        <v>88</v>
      </c>
      <c r="AC1653" t="s">
        <v>75</v>
      </c>
      <c r="AD1653" t="s">
        <v>72</v>
      </c>
      <c r="AE1653" t="s">
        <v>76</v>
      </c>
      <c r="AG1653" t="s">
        <v>77</v>
      </c>
    </row>
    <row r="1654" spans="1:33" x14ac:dyDescent="0.25">
      <c r="A1654" t="str">
        <f>"1427004118"</f>
        <v>1427004118</v>
      </c>
      <c r="B1654" t="str">
        <f>"02628288"</f>
        <v>02628288</v>
      </c>
      <c r="C1654" t="s">
        <v>9312</v>
      </c>
      <c r="D1654" t="s">
        <v>720</v>
      </c>
      <c r="E1654" t="s">
        <v>721</v>
      </c>
      <c r="G1654" t="s">
        <v>9312</v>
      </c>
      <c r="L1654" t="s">
        <v>79</v>
      </c>
      <c r="M1654" t="s">
        <v>72</v>
      </c>
      <c r="R1654" t="s">
        <v>722</v>
      </c>
      <c r="W1654" t="s">
        <v>721</v>
      </c>
      <c r="X1654" t="s">
        <v>220</v>
      </c>
      <c r="Y1654" t="s">
        <v>221</v>
      </c>
      <c r="Z1654" t="s">
        <v>73</v>
      </c>
      <c r="AA1654" t="str">
        <f>"14221-3647"</f>
        <v>14221-3647</v>
      </c>
      <c r="AB1654" t="s">
        <v>74</v>
      </c>
      <c r="AC1654" t="s">
        <v>75</v>
      </c>
      <c r="AD1654" t="s">
        <v>72</v>
      </c>
      <c r="AE1654" t="s">
        <v>76</v>
      </c>
      <c r="AF1654" t="s">
        <v>7966</v>
      </c>
      <c r="AG1654" t="s">
        <v>77</v>
      </c>
    </row>
    <row r="1655" spans="1:33" x14ac:dyDescent="0.25">
      <c r="A1655" t="str">
        <f>"1427159896"</f>
        <v>1427159896</v>
      </c>
      <c r="B1655" t="str">
        <f>"02375693"</f>
        <v>02375693</v>
      </c>
      <c r="C1655" t="s">
        <v>9313</v>
      </c>
      <c r="D1655" t="s">
        <v>812</v>
      </c>
      <c r="E1655" t="s">
        <v>813</v>
      </c>
      <c r="G1655" t="s">
        <v>9313</v>
      </c>
      <c r="H1655" t="s">
        <v>815</v>
      </c>
      <c r="L1655" t="s">
        <v>80</v>
      </c>
      <c r="M1655" t="s">
        <v>72</v>
      </c>
      <c r="R1655" t="s">
        <v>814</v>
      </c>
      <c r="W1655" t="s">
        <v>813</v>
      </c>
      <c r="X1655" t="s">
        <v>816</v>
      </c>
      <c r="Y1655" t="s">
        <v>817</v>
      </c>
      <c r="Z1655" t="s">
        <v>73</v>
      </c>
      <c r="AA1655" t="str">
        <f>"14063-1004"</f>
        <v>14063-1004</v>
      </c>
      <c r="AB1655" t="s">
        <v>74</v>
      </c>
      <c r="AC1655" t="s">
        <v>75</v>
      </c>
      <c r="AD1655" t="s">
        <v>72</v>
      </c>
      <c r="AE1655" t="s">
        <v>76</v>
      </c>
      <c r="AF1655" t="s">
        <v>7887</v>
      </c>
      <c r="AG1655" t="s">
        <v>77</v>
      </c>
    </row>
    <row r="1656" spans="1:33" x14ac:dyDescent="0.25">
      <c r="A1656" t="str">
        <f>"1639108848"</f>
        <v>1639108848</v>
      </c>
      <c r="B1656" t="str">
        <f>"01600040"</f>
        <v>01600040</v>
      </c>
      <c r="C1656" t="s">
        <v>9314</v>
      </c>
      <c r="D1656" t="s">
        <v>9315</v>
      </c>
      <c r="E1656" t="s">
        <v>9316</v>
      </c>
      <c r="G1656" t="s">
        <v>9314</v>
      </c>
      <c r="H1656" t="s">
        <v>9317</v>
      </c>
      <c r="L1656" t="s">
        <v>79</v>
      </c>
      <c r="M1656" t="s">
        <v>81</v>
      </c>
      <c r="R1656" t="s">
        <v>9318</v>
      </c>
      <c r="W1656" t="s">
        <v>9316</v>
      </c>
      <c r="X1656" t="s">
        <v>2377</v>
      </c>
      <c r="Y1656" t="s">
        <v>817</v>
      </c>
      <c r="Z1656" t="s">
        <v>73</v>
      </c>
      <c r="AA1656" t="str">
        <f>"14063-2200"</f>
        <v>14063-2200</v>
      </c>
      <c r="AB1656" t="s">
        <v>74</v>
      </c>
      <c r="AC1656" t="s">
        <v>75</v>
      </c>
      <c r="AD1656" t="s">
        <v>72</v>
      </c>
      <c r="AE1656" t="s">
        <v>76</v>
      </c>
      <c r="AF1656" t="s">
        <v>7966</v>
      </c>
      <c r="AG1656" t="s">
        <v>77</v>
      </c>
    </row>
    <row r="1657" spans="1:33" x14ac:dyDescent="0.25">
      <c r="A1657" t="str">
        <f>"1861436701"</f>
        <v>1861436701</v>
      </c>
      <c r="B1657" t="str">
        <f>"01658548"</f>
        <v>01658548</v>
      </c>
      <c r="C1657" t="s">
        <v>9319</v>
      </c>
      <c r="D1657" t="s">
        <v>9320</v>
      </c>
      <c r="E1657" t="s">
        <v>9321</v>
      </c>
      <c r="G1657" t="s">
        <v>9319</v>
      </c>
      <c r="H1657" t="s">
        <v>9322</v>
      </c>
      <c r="L1657" t="s">
        <v>79</v>
      </c>
      <c r="M1657" t="s">
        <v>72</v>
      </c>
      <c r="R1657" t="s">
        <v>9323</v>
      </c>
      <c r="W1657" t="s">
        <v>9321</v>
      </c>
      <c r="X1657" t="s">
        <v>9324</v>
      </c>
      <c r="Y1657" t="s">
        <v>242</v>
      </c>
      <c r="Z1657" t="s">
        <v>73</v>
      </c>
      <c r="AA1657" t="str">
        <f>"14701-7083"</f>
        <v>14701-7083</v>
      </c>
      <c r="AB1657" t="s">
        <v>74</v>
      </c>
      <c r="AC1657" t="s">
        <v>75</v>
      </c>
      <c r="AD1657" t="s">
        <v>72</v>
      </c>
      <c r="AE1657" t="s">
        <v>76</v>
      </c>
      <c r="AF1657" t="s">
        <v>4049</v>
      </c>
      <c r="AG1657" t="s">
        <v>77</v>
      </c>
    </row>
    <row r="1658" spans="1:33" x14ac:dyDescent="0.25">
      <c r="A1658" t="str">
        <f>"1265471619"</f>
        <v>1265471619</v>
      </c>
      <c r="B1658" t="str">
        <f>"00709595"</f>
        <v>00709595</v>
      </c>
      <c r="C1658" t="s">
        <v>9325</v>
      </c>
      <c r="D1658" t="s">
        <v>9326</v>
      </c>
      <c r="E1658" t="s">
        <v>9327</v>
      </c>
      <c r="G1658" t="s">
        <v>9325</v>
      </c>
      <c r="H1658" t="s">
        <v>9322</v>
      </c>
      <c r="L1658" t="s">
        <v>79</v>
      </c>
      <c r="M1658" t="s">
        <v>72</v>
      </c>
      <c r="R1658" t="s">
        <v>9328</v>
      </c>
      <c r="W1658" t="s">
        <v>9327</v>
      </c>
      <c r="X1658" t="s">
        <v>9324</v>
      </c>
      <c r="Y1658" t="s">
        <v>242</v>
      </c>
      <c r="Z1658" t="s">
        <v>73</v>
      </c>
      <c r="AA1658" t="str">
        <f>"14701-7083"</f>
        <v>14701-7083</v>
      </c>
      <c r="AB1658" t="s">
        <v>74</v>
      </c>
      <c r="AC1658" t="s">
        <v>75</v>
      </c>
      <c r="AD1658" t="s">
        <v>72</v>
      </c>
      <c r="AE1658" t="s">
        <v>76</v>
      </c>
      <c r="AF1658" t="s">
        <v>4049</v>
      </c>
      <c r="AG1658" t="s">
        <v>77</v>
      </c>
    </row>
    <row r="1659" spans="1:33" x14ac:dyDescent="0.25">
      <c r="A1659" t="str">
        <f>"1194762211"</f>
        <v>1194762211</v>
      </c>
      <c r="B1659" t="str">
        <f>"01475745"</f>
        <v>01475745</v>
      </c>
      <c r="C1659" t="s">
        <v>9329</v>
      </c>
      <c r="D1659" t="s">
        <v>9330</v>
      </c>
      <c r="E1659" t="s">
        <v>9331</v>
      </c>
      <c r="G1659" t="s">
        <v>9329</v>
      </c>
      <c r="H1659" t="s">
        <v>9322</v>
      </c>
      <c r="L1659" t="s">
        <v>79</v>
      </c>
      <c r="M1659" t="s">
        <v>72</v>
      </c>
      <c r="R1659" t="s">
        <v>9332</v>
      </c>
      <c r="W1659" t="s">
        <v>9331</v>
      </c>
      <c r="X1659" t="s">
        <v>286</v>
      </c>
      <c r="Y1659" t="s">
        <v>242</v>
      </c>
      <c r="Z1659" t="s">
        <v>73</v>
      </c>
      <c r="AA1659" t="str">
        <f>"14701-7077"</f>
        <v>14701-7077</v>
      </c>
      <c r="AB1659" t="s">
        <v>74</v>
      </c>
      <c r="AC1659" t="s">
        <v>75</v>
      </c>
      <c r="AD1659" t="s">
        <v>72</v>
      </c>
      <c r="AE1659" t="s">
        <v>76</v>
      </c>
      <c r="AF1659" t="s">
        <v>4049</v>
      </c>
      <c r="AG1659" t="s">
        <v>77</v>
      </c>
    </row>
    <row r="1660" spans="1:33" x14ac:dyDescent="0.25">
      <c r="A1660" t="str">
        <f>"1396774675"</f>
        <v>1396774675</v>
      </c>
      <c r="B1660" t="str">
        <f>"01318749"</f>
        <v>01318749</v>
      </c>
      <c r="C1660" t="s">
        <v>9333</v>
      </c>
      <c r="D1660" t="s">
        <v>9334</v>
      </c>
      <c r="E1660" t="s">
        <v>9335</v>
      </c>
      <c r="G1660" t="s">
        <v>9333</v>
      </c>
      <c r="H1660" t="s">
        <v>9336</v>
      </c>
      <c r="L1660" t="s">
        <v>79</v>
      </c>
      <c r="M1660" t="s">
        <v>72</v>
      </c>
      <c r="R1660" t="s">
        <v>9337</v>
      </c>
      <c r="W1660" t="s">
        <v>9335</v>
      </c>
      <c r="X1660" t="s">
        <v>9338</v>
      </c>
      <c r="Y1660" t="s">
        <v>242</v>
      </c>
      <c r="Z1660" t="s">
        <v>73</v>
      </c>
      <c r="AA1660" t="str">
        <f>"14701-7079"</f>
        <v>14701-7079</v>
      </c>
      <c r="AB1660" t="s">
        <v>74</v>
      </c>
      <c r="AC1660" t="s">
        <v>75</v>
      </c>
      <c r="AD1660" t="s">
        <v>72</v>
      </c>
      <c r="AE1660" t="s">
        <v>76</v>
      </c>
      <c r="AF1660" t="s">
        <v>4049</v>
      </c>
      <c r="AG1660" t="s">
        <v>77</v>
      </c>
    </row>
    <row r="1661" spans="1:33" x14ac:dyDescent="0.25">
      <c r="A1661" t="str">
        <f>"1154360147"</f>
        <v>1154360147</v>
      </c>
      <c r="B1661" t="str">
        <f>"02360112"</f>
        <v>02360112</v>
      </c>
      <c r="C1661" t="s">
        <v>9339</v>
      </c>
      <c r="D1661" t="s">
        <v>9340</v>
      </c>
      <c r="E1661" t="s">
        <v>9341</v>
      </c>
      <c r="G1661" t="s">
        <v>9339</v>
      </c>
      <c r="H1661" t="s">
        <v>9322</v>
      </c>
      <c r="L1661" t="s">
        <v>79</v>
      </c>
      <c r="M1661" t="s">
        <v>72</v>
      </c>
      <c r="R1661" t="s">
        <v>9342</v>
      </c>
      <c r="W1661" t="s">
        <v>9341</v>
      </c>
      <c r="X1661" t="s">
        <v>9343</v>
      </c>
      <c r="Y1661" t="s">
        <v>242</v>
      </c>
      <c r="Z1661" t="s">
        <v>73</v>
      </c>
      <c r="AA1661" t="str">
        <f>"14701-7081"</f>
        <v>14701-7081</v>
      </c>
      <c r="AB1661" t="s">
        <v>74</v>
      </c>
      <c r="AC1661" t="s">
        <v>75</v>
      </c>
      <c r="AD1661" t="s">
        <v>72</v>
      </c>
      <c r="AE1661" t="s">
        <v>76</v>
      </c>
      <c r="AF1661" t="s">
        <v>4049</v>
      </c>
      <c r="AG1661" t="s">
        <v>77</v>
      </c>
    </row>
    <row r="1662" spans="1:33" x14ac:dyDescent="0.25">
      <c r="A1662" t="str">
        <f>"1932142346"</f>
        <v>1932142346</v>
      </c>
      <c r="B1662" t="str">
        <f>"00773937"</f>
        <v>00773937</v>
      </c>
      <c r="C1662" t="s">
        <v>9344</v>
      </c>
      <c r="D1662" t="s">
        <v>9345</v>
      </c>
      <c r="E1662" t="s">
        <v>9346</v>
      </c>
      <c r="G1662" t="s">
        <v>9344</v>
      </c>
      <c r="H1662" t="s">
        <v>9336</v>
      </c>
      <c r="L1662" t="s">
        <v>79</v>
      </c>
      <c r="M1662" t="s">
        <v>72</v>
      </c>
      <c r="R1662" t="s">
        <v>9347</v>
      </c>
      <c r="W1662" t="s">
        <v>9346</v>
      </c>
      <c r="X1662" t="s">
        <v>9348</v>
      </c>
      <c r="Y1662" t="s">
        <v>242</v>
      </c>
      <c r="Z1662" t="s">
        <v>73</v>
      </c>
      <c r="AA1662" t="str">
        <f>"14701-7079"</f>
        <v>14701-7079</v>
      </c>
      <c r="AB1662" t="s">
        <v>74</v>
      </c>
      <c r="AC1662" t="s">
        <v>75</v>
      </c>
      <c r="AD1662" t="s">
        <v>72</v>
      </c>
      <c r="AE1662" t="s">
        <v>76</v>
      </c>
      <c r="AF1662" t="s">
        <v>4049</v>
      </c>
      <c r="AG1662" t="s">
        <v>77</v>
      </c>
    </row>
    <row r="1663" spans="1:33" x14ac:dyDescent="0.25">
      <c r="A1663" t="str">
        <f>"1316141658"</f>
        <v>1316141658</v>
      </c>
      <c r="B1663" t="str">
        <f>"03717186"</f>
        <v>03717186</v>
      </c>
      <c r="C1663" t="s">
        <v>9349</v>
      </c>
      <c r="D1663" t="s">
        <v>9350</v>
      </c>
      <c r="E1663" t="s">
        <v>9351</v>
      </c>
      <c r="L1663" t="s">
        <v>71</v>
      </c>
      <c r="M1663" t="s">
        <v>72</v>
      </c>
      <c r="R1663" t="s">
        <v>9351</v>
      </c>
      <c r="W1663" t="s">
        <v>9351</v>
      </c>
      <c r="X1663" t="s">
        <v>204</v>
      </c>
      <c r="Y1663" t="s">
        <v>117</v>
      </c>
      <c r="Z1663" t="s">
        <v>73</v>
      </c>
      <c r="AA1663" t="str">
        <f t="shared" ref="AA1663:AA1671" si="16">"14263-0001"</f>
        <v>14263-0001</v>
      </c>
      <c r="AB1663" t="s">
        <v>74</v>
      </c>
      <c r="AC1663" t="s">
        <v>75</v>
      </c>
      <c r="AD1663" t="s">
        <v>72</v>
      </c>
      <c r="AE1663" t="s">
        <v>76</v>
      </c>
      <c r="AF1663" t="s">
        <v>4043</v>
      </c>
      <c r="AG1663" t="s">
        <v>77</v>
      </c>
    </row>
    <row r="1664" spans="1:33" x14ac:dyDescent="0.25">
      <c r="A1664" t="str">
        <f>"1750545745"</f>
        <v>1750545745</v>
      </c>
      <c r="B1664" t="str">
        <f>"04284213"</f>
        <v>04284213</v>
      </c>
      <c r="C1664" t="s">
        <v>9352</v>
      </c>
      <c r="D1664" t="s">
        <v>9353</v>
      </c>
      <c r="E1664" t="s">
        <v>9354</v>
      </c>
      <c r="L1664" t="s">
        <v>71</v>
      </c>
      <c r="M1664" t="s">
        <v>72</v>
      </c>
      <c r="R1664" t="s">
        <v>9355</v>
      </c>
      <c r="W1664" t="s">
        <v>9354</v>
      </c>
      <c r="X1664" t="s">
        <v>204</v>
      </c>
      <c r="Y1664" t="s">
        <v>117</v>
      </c>
      <c r="Z1664" t="s">
        <v>73</v>
      </c>
      <c r="AA1664" t="str">
        <f t="shared" si="16"/>
        <v>14263-0001</v>
      </c>
      <c r="AB1664" t="s">
        <v>74</v>
      </c>
      <c r="AC1664" t="s">
        <v>75</v>
      </c>
      <c r="AD1664" t="s">
        <v>72</v>
      </c>
      <c r="AE1664" t="s">
        <v>76</v>
      </c>
      <c r="AF1664" t="s">
        <v>4043</v>
      </c>
      <c r="AG1664" t="s">
        <v>77</v>
      </c>
    </row>
    <row r="1665" spans="1:33" x14ac:dyDescent="0.25">
      <c r="A1665" t="str">
        <f>"1154503456"</f>
        <v>1154503456</v>
      </c>
      <c r="B1665" t="str">
        <f>"03586963"</f>
        <v>03586963</v>
      </c>
      <c r="C1665" t="s">
        <v>9356</v>
      </c>
      <c r="D1665" t="s">
        <v>9357</v>
      </c>
      <c r="E1665" t="s">
        <v>9358</v>
      </c>
      <c r="L1665" t="s">
        <v>71</v>
      </c>
      <c r="M1665" t="s">
        <v>72</v>
      </c>
      <c r="R1665" t="s">
        <v>9359</v>
      </c>
      <c r="W1665" t="s">
        <v>9358</v>
      </c>
      <c r="X1665" t="s">
        <v>204</v>
      </c>
      <c r="Y1665" t="s">
        <v>117</v>
      </c>
      <c r="Z1665" t="s">
        <v>73</v>
      </c>
      <c r="AA1665" t="str">
        <f t="shared" si="16"/>
        <v>14263-0001</v>
      </c>
      <c r="AB1665" t="s">
        <v>74</v>
      </c>
      <c r="AC1665" t="s">
        <v>75</v>
      </c>
      <c r="AD1665" t="s">
        <v>72</v>
      </c>
      <c r="AE1665" t="s">
        <v>76</v>
      </c>
      <c r="AF1665" t="s">
        <v>4043</v>
      </c>
      <c r="AG1665" t="s">
        <v>77</v>
      </c>
    </row>
    <row r="1666" spans="1:33" x14ac:dyDescent="0.25">
      <c r="A1666" t="str">
        <f>"1285796508"</f>
        <v>1285796508</v>
      </c>
      <c r="B1666" t="str">
        <f>"03571717"</f>
        <v>03571717</v>
      </c>
      <c r="C1666" t="s">
        <v>9360</v>
      </c>
      <c r="D1666" t="s">
        <v>9361</v>
      </c>
      <c r="E1666" t="s">
        <v>9362</v>
      </c>
      <c r="L1666" t="s">
        <v>71</v>
      </c>
      <c r="M1666" t="s">
        <v>72</v>
      </c>
      <c r="R1666" t="s">
        <v>9362</v>
      </c>
      <c r="W1666" t="s">
        <v>9362</v>
      </c>
      <c r="X1666" t="s">
        <v>204</v>
      </c>
      <c r="Y1666" t="s">
        <v>117</v>
      </c>
      <c r="Z1666" t="s">
        <v>73</v>
      </c>
      <c r="AA1666" t="str">
        <f t="shared" si="16"/>
        <v>14263-0001</v>
      </c>
      <c r="AB1666" t="s">
        <v>74</v>
      </c>
      <c r="AC1666" t="s">
        <v>75</v>
      </c>
      <c r="AD1666" t="s">
        <v>72</v>
      </c>
      <c r="AE1666" t="s">
        <v>76</v>
      </c>
      <c r="AF1666" t="s">
        <v>4043</v>
      </c>
      <c r="AG1666" t="s">
        <v>77</v>
      </c>
    </row>
    <row r="1667" spans="1:33" x14ac:dyDescent="0.25">
      <c r="A1667" t="str">
        <f>"1508179839"</f>
        <v>1508179839</v>
      </c>
      <c r="B1667" t="str">
        <f>"03875032"</f>
        <v>03875032</v>
      </c>
      <c r="C1667" t="s">
        <v>9363</v>
      </c>
      <c r="D1667" t="s">
        <v>9364</v>
      </c>
      <c r="E1667" t="s">
        <v>9365</v>
      </c>
      <c r="L1667" t="s">
        <v>71</v>
      </c>
      <c r="M1667" t="s">
        <v>72</v>
      </c>
      <c r="R1667" t="s">
        <v>9366</v>
      </c>
      <c r="W1667" t="s">
        <v>9365</v>
      </c>
      <c r="X1667" t="s">
        <v>204</v>
      </c>
      <c r="Y1667" t="s">
        <v>117</v>
      </c>
      <c r="Z1667" t="s">
        <v>73</v>
      </c>
      <c r="AA1667" t="str">
        <f t="shared" si="16"/>
        <v>14263-0001</v>
      </c>
      <c r="AB1667" t="s">
        <v>74</v>
      </c>
      <c r="AC1667" t="s">
        <v>75</v>
      </c>
      <c r="AD1667" t="s">
        <v>72</v>
      </c>
      <c r="AE1667" t="s">
        <v>76</v>
      </c>
      <c r="AF1667" t="s">
        <v>4043</v>
      </c>
      <c r="AG1667" t="s">
        <v>77</v>
      </c>
    </row>
    <row r="1668" spans="1:33" x14ac:dyDescent="0.25">
      <c r="A1668" t="str">
        <f>"1730408147"</f>
        <v>1730408147</v>
      </c>
      <c r="B1668" t="str">
        <f>"03993753"</f>
        <v>03993753</v>
      </c>
      <c r="C1668" t="s">
        <v>9367</v>
      </c>
      <c r="D1668" t="s">
        <v>9368</v>
      </c>
      <c r="E1668" t="s">
        <v>9369</v>
      </c>
      <c r="L1668" t="s">
        <v>92</v>
      </c>
      <c r="M1668" t="s">
        <v>72</v>
      </c>
      <c r="R1668" t="s">
        <v>9369</v>
      </c>
      <c r="W1668" t="s">
        <v>9369</v>
      </c>
      <c r="X1668" t="s">
        <v>204</v>
      </c>
      <c r="Y1668" t="s">
        <v>117</v>
      </c>
      <c r="Z1668" t="s">
        <v>73</v>
      </c>
      <c r="AA1668" t="str">
        <f t="shared" si="16"/>
        <v>14263-0001</v>
      </c>
      <c r="AB1668" t="s">
        <v>74</v>
      </c>
      <c r="AC1668" t="s">
        <v>75</v>
      </c>
      <c r="AD1668" t="s">
        <v>72</v>
      </c>
      <c r="AE1668" t="s">
        <v>76</v>
      </c>
      <c r="AF1668" t="s">
        <v>4043</v>
      </c>
      <c r="AG1668" t="s">
        <v>77</v>
      </c>
    </row>
    <row r="1669" spans="1:33" x14ac:dyDescent="0.25">
      <c r="A1669" t="str">
        <f>"1518993369"</f>
        <v>1518993369</v>
      </c>
      <c r="B1669" t="str">
        <f>"03464399"</f>
        <v>03464399</v>
      </c>
      <c r="C1669" t="s">
        <v>9370</v>
      </c>
      <c r="D1669" t="s">
        <v>9371</v>
      </c>
      <c r="E1669" t="s">
        <v>9372</v>
      </c>
      <c r="L1669" t="s">
        <v>71</v>
      </c>
      <c r="M1669" t="s">
        <v>72</v>
      </c>
      <c r="R1669" t="s">
        <v>9372</v>
      </c>
      <c r="W1669" t="s">
        <v>9372</v>
      </c>
      <c r="X1669" t="s">
        <v>204</v>
      </c>
      <c r="Y1669" t="s">
        <v>117</v>
      </c>
      <c r="Z1669" t="s">
        <v>73</v>
      </c>
      <c r="AA1669" t="str">
        <f t="shared" si="16"/>
        <v>14263-0001</v>
      </c>
      <c r="AB1669" t="s">
        <v>74</v>
      </c>
      <c r="AC1669" t="s">
        <v>75</v>
      </c>
      <c r="AD1669" t="s">
        <v>72</v>
      </c>
      <c r="AE1669" t="s">
        <v>76</v>
      </c>
      <c r="AF1669" t="s">
        <v>4043</v>
      </c>
      <c r="AG1669" t="s">
        <v>77</v>
      </c>
    </row>
    <row r="1670" spans="1:33" x14ac:dyDescent="0.25">
      <c r="A1670" t="str">
        <f>"1689973943"</f>
        <v>1689973943</v>
      </c>
      <c r="B1670" t="str">
        <f>"03938974"</f>
        <v>03938974</v>
      </c>
      <c r="C1670" t="s">
        <v>9373</v>
      </c>
      <c r="D1670" t="s">
        <v>9374</v>
      </c>
      <c r="E1670" t="s">
        <v>9375</v>
      </c>
      <c r="L1670" t="s">
        <v>71</v>
      </c>
      <c r="M1670" t="s">
        <v>72</v>
      </c>
      <c r="R1670" t="s">
        <v>9375</v>
      </c>
      <c r="W1670" t="s">
        <v>9375</v>
      </c>
      <c r="X1670" t="s">
        <v>204</v>
      </c>
      <c r="Y1670" t="s">
        <v>117</v>
      </c>
      <c r="Z1670" t="s">
        <v>73</v>
      </c>
      <c r="AA1670" t="str">
        <f t="shared" si="16"/>
        <v>14263-0001</v>
      </c>
      <c r="AB1670" t="s">
        <v>74</v>
      </c>
      <c r="AC1670" t="s">
        <v>75</v>
      </c>
      <c r="AD1670" t="s">
        <v>72</v>
      </c>
      <c r="AE1670" t="s">
        <v>76</v>
      </c>
      <c r="AF1670" t="s">
        <v>4043</v>
      </c>
      <c r="AG1670" t="s">
        <v>77</v>
      </c>
    </row>
    <row r="1671" spans="1:33" x14ac:dyDescent="0.25">
      <c r="A1671" t="str">
        <f>"1437460789"</f>
        <v>1437460789</v>
      </c>
      <c r="B1671" t="str">
        <f>"04022400"</f>
        <v>04022400</v>
      </c>
      <c r="C1671" t="s">
        <v>9376</v>
      </c>
      <c r="D1671" t="s">
        <v>9377</v>
      </c>
      <c r="E1671" t="s">
        <v>9378</v>
      </c>
      <c r="L1671" t="s">
        <v>71</v>
      </c>
      <c r="M1671" t="s">
        <v>72</v>
      </c>
      <c r="R1671" t="s">
        <v>9379</v>
      </c>
      <c r="W1671" t="s">
        <v>9378</v>
      </c>
      <c r="X1671" t="s">
        <v>204</v>
      </c>
      <c r="Y1671" t="s">
        <v>117</v>
      </c>
      <c r="Z1671" t="s">
        <v>73</v>
      </c>
      <c r="AA1671" t="str">
        <f t="shared" si="16"/>
        <v>14263-0001</v>
      </c>
      <c r="AB1671" t="s">
        <v>74</v>
      </c>
      <c r="AC1671" t="s">
        <v>75</v>
      </c>
      <c r="AD1671" t="s">
        <v>72</v>
      </c>
      <c r="AE1671" t="s">
        <v>76</v>
      </c>
      <c r="AF1671" t="s">
        <v>4043</v>
      </c>
      <c r="AG1671" t="s">
        <v>77</v>
      </c>
    </row>
    <row r="1672" spans="1:33" x14ac:dyDescent="0.25">
      <c r="A1672" t="str">
        <f>"1164497384"</f>
        <v>1164497384</v>
      </c>
      <c r="B1672" t="str">
        <f>"01776750"</f>
        <v>01776750</v>
      </c>
      <c r="C1672" t="s">
        <v>9380</v>
      </c>
      <c r="D1672" t="s">
        <v>2748</v>
      </c>
      <c r="E1672" t="s">
        <v>2749</v>
      </c>
      <c r="L1672" t="s">
        <v>79</v>
      </c>
      <c r="M1672" t="s">
        <v>72</v>
      </c>
      <c r="R1672" t="s">
        <v>2750</v>
      </c>
      <c r="W1672" t="s">
        <v>2749</v>
      </c>
      <c r="Y1672" t="s">
        <v>117</v>
      </c>
      <c r="Z1672" t="s">
        <v>73</v>
      </c>
      <c r="AA1672" t="str">
        <f>"14222-2099"</f>
        <v>14222-2099</v>
      </c>
      <c r="AB1672" t="s">
        <v>74</v>
      </c>
      <c r="AC1672" t="s">
        <v>75</v>
      </c>
      <c r="AD1672" t="s">
        <v>72</v>
      </c>
      <c r="AE1672" t="s">
        <v>76</v>
      </c>
      <c r="AF1672" t="s">
        <v>4043</v>
      </c>
      <c r="AG1672" t="s">
        <v>77</v>
      </c>
    </row>
    <row r="1673" spans="1:33" x14ac:dyDescent="0.25">
      <c r="A1673" t="str">
        <f>"1982845350"</f>
        <v>1982845350</v>
      </c>
      <c r="B1673" t="str">
        <f>"03932776"</f>
        <v>03932776</v>
      </c>
      <c r="C1673" t="s">
        <v>9381</v>
      </c>
      <c r="D1673" t="s">
        <v>9382</v>
      </c>
      <c r="E1673" t="s">
        <v>9383</v>
      </c>
      <c r="L1673" t="s">
        <v>79</v>
      </c>
      <c r="M1673" t="s">
        <v>72</v>
      </c>
      <c r="R1673" t="s">
        <v>9384</v>
      </c>
      <c r="W1673" t="s">
        <v>9383</v>
      </c>
      <c r="X1673" t="s">
        <v>204</v>
      </c>
      <c r="Y1673" t="s">
        <v>117</v>
      </c>
      <c r="Z1673" t="s">
        <v>73</v>
      </c>
      <c r="AA1673" t="str">
        <f>"14263-0001"</f>
        <v>14263-0001</v>
      </c>
      <c r="AB1673" t="s">
        <v>74</v>
      </c>
      <c r="AC1673" t="s">
        <v>75</v>
      </c>
      <c r="AD1673" t="s">
        <v>72</v>
      </c>
      <c r="AE1673" t="s">
        <v>76</v>
      </c>
      <c r="AF1673" t="s">
        <v>4043</v>
      </c>
      <c r="AG1673" t="s">
        <v>77</v>
      </c>
    </row>
    <row r="1674" spans="1:33" x14ac:dyDescent="0.25">
      <c r="A1674" t="str">
        <f>"1730345513"</f>
        <v>1730345513</v>
      </c>
      <c r="B1674" t="str">
        <f>"03580701"</f>
        <v>03580701</v>
      </c>
      <c r="C1674" t="s">
        <v>9385</v>
      </c>
      <c r="D1674" t="s">
        <v>689</v>
      </c>
      <c r="E1674" t="s">
        <v>690</v>
      </c>
      <c r="L1674" t="s">
        <v>79</v>
      </c>
      <c r="M1674" t="s">
        <v>72</v>
      </c>
      <c r="R1674" t="s">
        <v>690</v>
      </c>
      <c r="W1674" t="s">
        <v>690</v>
      </c>
      <c r="X1674" t="s">
        <v>204</v>
      </c>
      <c r="Y1674" t="s">
        <v>117</v>
      </c>
      <c r="Z1674" t="s">
        <v>73</v>
      </c>
      <c r="AA1674" t="str">
        <f>"14263-0001"</f>
        <v>14263-0001</v>
      </c>
      <c r="AB1674" t="s">
        <v>74</v>
      </c>
      <c r="AC1674" t="s">
        <v>75</v>
      </c>
      <c r="AD1674" t="s">
        <v>72</v>
      </c>
      <c r="AE1674" t="s">
        <v>76</v>
      </c>
      <c r="AF1674" t="s">
        <v>4043</v>
      </c>
      <c r="AG1674" t="s">
        <v>77</v>
      </c>
    </row>
    <row r="1675" spans="1:33" x14ac:dyDescent="0.25">
      <c r="A1675" t="str">
        <f>"1275597338"</f>
        <v>1275597338</v>
      </c>
      <c r="B1675" t="str">
        <f>"01356394"</f>
        <v>01356394</v>
      </c>
      <c r="C1675" t="s">
        <v>9386</v>
      </c>
      <c r="D1675" t="s">
        <v>2913</v>
      </c>
      <c r="E1675" t="s">
        <v>2914</v>
      </c>
      <c r="L1675" t="s">
        <v>71</v>
      </c>
      <c r="M1675" t="s">
        <v>72</v>
      </c>
      <c r="R1675" t="s">
        <v>2915</v>
      </c>
      <c r="W1675" t="s">
        <v>2914</v>
      </c>
      <c r="X1675" t="s">
        <v>169</v>
      </c>
      <c r="Y1675" t="s">
        <v>117</v>
      </c>
      <c r="Z1675" t="s">
        <v>73</v>
      </c>
      <c r="AA1675" t="str">
        <f>"14209-1194"</f>
        <v>14209-1194</v>
      </c>
      <c r="AB1675" t="s">
        <v>74</v>
      </c>
      <c r="AC1675" t="s">
        <v>75</v>
      </c>
      <c r="AD1675" t="s">
        <v>72</v>
      </c>
      <c r="AE1675" t="s">
        <v>76</v>
      </c>
      <c r="AF1675" t="s">
        <v>4043</v>
      </c>
      <c r="AG1675" t="s">
        <v>77</v>
      </c>
    </row>
    <row r="1676" spans="1:33" x14ac:dyDescent="0.25">
      <c r="A1676" t="str">
        <f>"1669419867"</f>
        <v>1669419867</v>
      </c>
      <c r="B1676" t="str">
        <f>"03084984"</f>
        <v>03084984</v>
      </c>
      <c r="C1676" t="s">
        <v>9387</v>
      </c>
      <c r="D1676" t="s">
        <v>2778</v>
      </c>
      <c r="E1676" t="s">
        <v>2779</v>
      </c>
      <c r="L1676" t="s">
        <v>79</v>
      </c>
      <c r="M1676" t="s">
        <v>72</v>
      </c>
      <c r="R1676" t="s">
        <v>2780</v>
      </c>
      <c r="W1676" t="s">
        <v>2779</v>
      </c>
      <c r="X1676" t="s">
        <v>204</v>
      </c>
      <c r="Y1676" t="s">
        <v>117</v>
      </c>
      <c r="Z1676" t="s">
        <v>73</v>
      </c>
      <c r="AA1676" t="str">
        <f>"14263-0001"</f>
        <v>14263-0001</v>
      </c>
      <c r="AB1676" t="s">
        <v>74</v>
      </c>
      <c r="AC1676" t="s">
        <v>75</v>
      </c>
      <c r="AD1676" t="s">
        <v>72</v>
      </c>
      <c r="AE1676" t="s">
        <v>76</v>
      </c>
      <c r="AF1676" t="s">
        <v>4043</v>
      </c>
      <c r="AG1676" t="s">
        <v>77</v>
      </c>
    </row>
    <row r="1677" spans="1:33" x14ac:dyDescent="0.25">
      <c r="A1677" t="str">
        <f>"1720015894"</f>
        <v>1720015894</v>
      </c>
      <c r="B1677" t="str">
        <f>"01657381"</f>
        <v>01657381</v>
      </c>
      <c r="C1677" t="s">
        <v>9388</v>
      </c>
      <c r="D1677" t="s">
        <v>9389</v>
      </c>
      <c r="E1677" t="s">
        <v>9390</v>
      </c>
      <c r="L1677" t="s">
        <v>79</v>
      </c>
      <c r="M1677" t="s">
        <v>72</v>
      </c>
      <c r="R1677" t="s">
        <v>9391</v>
      </c>
      <c r="W1677" t="s">
        <v>9390</v>
      </c>
      <c r="X1677" t="s">
        <v>295</v>
      </c>
      <c r="Y1677" t="s">
        <v>117</v>
      </c>
      <c r="Z1677" t="s">
        <v>73</v>
      </c>
      <c r="AA1677" t="str">
        <f>"14215-3021"</f>
        <v>14215-3021</v>
      </c>
      <c r="AB1677" t="s">
        <v>74</v>
      </c>
      <c r="AC1677" t="s">
        <v>75</v>
      </c>
      <c r="AD1677" t="s">
        <v>72</v>
      </c>
      <c r="AE1677" t="s">
        <v>76</v>
      </c>
      <c r="AF1677" t="s">
        <v>4043</v>
      </c>
      <c r="AG1677" t="s">
        <v>77</v>
      </c>
    </row>
    <row r="1678" spans="1:33" x14ac:dyDescent="0.25">
      <c r="A1678" t="str">
        <f>"1174504377"</f>
        <v>1174504377</v>
      </c>
      <c r="B1678" t="str">
        <f>"01203901"</f>
        <v>01203901</v>
      </c>
      <c r="C1678" t="s">
        <v>9392</v>
      </c>
      <c r="D1678" t="s">
        <v>2842</v>
      </c>
      <c r="E1678" t="s">
        <v>2843</v>
      </c>
      <c r="L1678" t="s">
        <v>79</v>
      </c>
      <c r="M1678" t="s">
        <v>72</v>
      </c>
      <c r="R1678" t="s">
        <v>2844</v>
      </c>
      <c r="W1678" t="s">
        <v>2843</v>
      </c>
      <c r="X1678" t="s">
        <v>359</v>
      </c>
      <c r="Y1678" t="s">
        <v>117</v>
      </c>
      <c r="Z1678" t="s">
        <v>73</v>
      </c>
      <c r="AA1678" t="str">
        <f>"14222-2099"</f>
        <v>14222-2099</v>
      </c>
      <c r="AB1678" t="s">
        <v>74</v>
      </c>
      <c r="AC1678" t="s">
        <v>75</v>
      </c>
      <c r="AD1678" t="s">
        <v>72</v>
      </c>
      <c r="AE1678" t="s">
        <v>76</v>
      </c>
      <c r="AF1678" t="s">
        <v>4043</v>
      </c>
      <c r="AG1678" t="s">
        <v>77</v>
      </c>
    </row>
    <row r="1679" spans="1:33" x14ac:dyDescent="0.25">
      <c r="A1679" t="str">
        <f>"1851557615"</f>
        <v>1851557615</v>
      </c>
      <c r="B1679" t="str">
        <f>"03527039"</f>
        <v>03527039</v>
      </c>
      <c r="C1679" t="s">
        <v>9393</v>
      </c>
      <c r="D1679" t="s">
        <v>260</v>
      </c>
      <c r="E1679" t="s">
        <v>261</v>
      </c>
      <c r="L1679" t="s">
        <v>79</v>
      </c>
      <c r="M1679" t="s">
        <v>72</v>
      </c>
      <c r="R1679" t="s">
        <v>262</v>
      </c>
      <c r="W1679" t="s">
        <v>261</v>
      </c>
      <c r="X1679" t="s">
        <v>204</v>
      </c>
      <c r="Y1679" t="s">
        <v>117</v>
      </c>
      <c r="Z1679" t="s">
        <v>73</v>
      </c>
      <c r="AA1679" t="str">
        <f>"14263-0001"</f>
        <v>14263-0001</v>
      </c>
      <c r="AB1679" t="s">
        <v>74</v>
      </c>
      <c r="AC1679" t="s">
        <v>75</v>
      </c>
      <c r="AD1679" t="s">
        <v>72</v>
      </c>
      <c r="AE1679" t="s">
        <v>76</v>
      </c>
      <c r="AF1679" t="s">
        <v>4043</v>
      </c>
      <c r="AG1679" t="s">
        <v>77</v>
      </c>
    </row>
    <row r="1680" spans="1:33" x14ac:dyDescent="0.25">
      <c r="A1680" t="str">
        <f>"1811988249"</f>
        <v>1811988249</v>
      </c>
      <c r="B1680" t="str">
        <f>"02659034"</f>
        <v>02659034</v>
      </c>
      <c r="C1680" t="s">
        <v>9394</v>
      </c>
      <c r="D1680" t="s">
        <v>1744</v>
      </c>
      <c r="E1680" t="s">
        <v>1745</v>
      </c>
      <c r="L1680" t="s">
        <v>79</v>
      </c>
      <c r="M1680" t="s">
        <v>72</v>
      </c>
      <c r="R1680" t="s">
        <v>1746</v>
      </c>
      <c r="W1680" t="s">
        <v>1745</v>
      </c>
      <c r="X1680" t="s">
        <v>204</v>
      </c>
      <c r="Y1680" t="s">
        <v>117</v>
      </c>
      <c r="Z1680" t="s">
        <v>73</v>
      </c>
      <c r="AA1680" t="str">
        <f>"14263-0001"</f>
        <v>14263-0001</v>
      </c>
      <c r="AB1680" t="s">
        <v>74</v>
      </c>
      <c r="AC1680" t="s">
        <v>75</v>
      </c>
      <c r="AD1680" t="s">
        <v>72</v>
      </c>
      <c r="AE1680" t="s">
        <v>76</v>
      </c>
      <c r="AF1680" t="s">
        <v>4043</v>
      </c>
      <c r="AG1680" t="s">
        <v>77</v>
      </c>
    </row>
    <row r="1681" spans="1:33" x14ac:dyDescent="0.25">
      <c r="A1681" t="str">
        <f>"1568645810"</f>
        <v>1568645810</v>
      </c>
      <c r="B1681" t="str">
        <f>"02937846"</f>
        <v>02937846</v>
      </c>
      <c r="C1681" t="s">
        <v>9395</v>
      </c>
      <c r="D1681" t="s">
        <v>9396</v>
      </c>
      <c r="E1681" t="s">
        <v>9397</v>
      </c>
      <c r="G1681" t="s">
        <v>9395</v>
      </c>
      <c r="H1681" t="s">
        <v>4744</v>
      </c>
      <c r="L1681" t="s">
        <v>79</v>
      </c>
      <c r="M1681" t="s">
        <v>72</v>
      </c>
      <c r="R1681" t="s">
        <v>9397</v>
      </c>
      <c r="W1681" t="s">
        <v>9397</v>
      </c>
      <c r="X1681" t="s">
        <v>9398</v>
      </c>
      <c r="Y1681" t="s">
        <v>117</v>
      </c>
      <c r="Z1681" t="s">
        <v>73</v>
      </c>
      <c r="AA1681" t="str">
        <f>"14220-1700"</f>
        <v>14220-1700</v>
      </c>
      <c r="AB1681" t="s">
        <v>74</v>
      </c>
      <c r="AC1681" t="s">
        <v>75</v>
      </c>
      <c r="AD1681" t="s">
        <v>72</v>
      </c>
      <c r="AE1681" t="s">
        <v>76</v>
      </c>
      <c r="AF1681" t="s">
        <v>3974</v>
      </c>
      <c r="AG1681" t="s">
        <v>77</v>
      </c>
    </row>
    <row r="1682" spans="1:33" x14ac:dyDescent="0.25">
      <c r="A1682" t="str">
        <f>"1629045026"</f>
        <v>1629045026</v>
      </c>
      <c r="B1682" t="str">
        <f>"01568501"</f>
        <v>01568501</v>
      </c>
      <c r="C1682" t="s">
        <v>9399</v>
      </c>
      <c r="D1682" t="s">
        <v>9400</v>
      </c>
      <c r="E1682" t="s">
        <v>9401</v>
      </c>
      <c r="G1682" t="s">
        <v>4093</v>
      </c>
      <c r="H1682" t="s">
        <v>4094</v>
      </c>
      <c r="I1682">
        <v>223</v>
      </c>
      <c r="J1682" t="s">
        <v>4095</v>
      </c>
      <c r="L1682" t="s">
        <v>80</v>
      </c>
      <c r="M1682" t="s">
        <v>81</v>
      </c>
      <c r="R1682" t="s">
        <v>9402</v>
      </c>
      <c r="W1682" t="s">
        <v>9401</v>
      </c>
      <c r="X1682" t="s">
        <v>1620</v>
      </c>
      <c r="Y1682" t="s">
        <v>242</v>
      </c>
      <c r="Z1682" t="s">
        <v>73</v>
      </c>
      <c r="AA1682" t="str">
        <f>"14701-1801"</f>
        <v>14701-1801</v>
      </c>
      <c r="AB1682" t="s">
        <v>74</v>
      </c>
      <c r="AC1682" t="s">
        <v>75</v>
      </c>
      <c r="AD1682" t="s">
        <v>72</v>
      </c>
      <c r="AE1682" t="s">
        <v>76</v>
      </c>
      <c r="AF1682" t="s">
        <v>4049</v>
      </c>
      <c r="AG1682" t="s">
        <v>77</v>
      </c>
    </row>
    <row r="1683" spans="1:33" x14ac:dyDescent="0.25">
      <c r="A1683" t="str">
        <f>"1952563439"</f>
        <v>1952563439</v>
      </c>
      <c r="B1683" t="str">
        <f>"03013590"</f>
        <v>03013590</v>
      </c>
      <c r="C1683" t="s">
        <v>9403</v>
      </c>
      <c r="D1683" t="s">
        <v>3798</v>
      </c>
      <c r="E1683" t="s">
        <v>3799</v>
      </c>
      <c r="G1683" t="s">
        <v>9404</v>
      </c>
      <c r="H1683" t="s">
        <v>3800</v>
      </c>
      <c r="J1683" t="s">
        <v>9405</v>
      </c>
      <c r="L1683" t="s">
        <v>80</v>
      </c>
      <c r="M1683" t="s">
        <v>72</v>
      </c>
      <c r="R1683" t="s">
        <v>3801</v>
      </c>
      <c r="W1683" t="s">
        <v>3802</v>
      </c>
      <c r="X1683" t="s">
        <v>234</v>
      </c>
      <c r="Y1683" t="s">
        <v>117</v>
      </c>
      <c r="Z1683" t="s">
        <v>73</v>
      </c>
      <c r="AA1683" t="str">
        <f>"14220-2039"</f>
        <v>14220-2039</v>
      </c>
      <c r="AB1683" t="s">
        <v>74</v>
      </c>
      <c r="AC1683" t="s">
        <v>75</v>
      </c>
      <c r="AD1683" t="s">
        <v>72</v>
      </c>
      <c r="AE1683" t="s">
        <v>76</v>
      </c>
      <c r="AF1683" t="s">
        <v>3961</v>
      </c>
      <c r="AG1683" t="s">
        <v>77</v>
      </c>
    </row>
    <row r="1684" spans="1:33" x14ac:dyDescent="0.25">
      <c r="A1684" t="str">
        <f>"1871547463"</f>
        <v>1871547463</v>
      </c>
      <c r="B1684" t="str">
        <f>"02312738"</f>
        <v>02312738</v>
      </c>
      <c r="C1684" t="s">
        <v>9406</v>
      </c>
      <c r="D1684" t="s">
        <v>9407</v>
      </c>
      <c r="E1684" t="s">
        <v>9408</v>
      </c>
      <c r="G1684" t="s">
        <v>6304</v>
      </c>
      <c r="H1684" t="s">
        <v>698</v>
      </c>
      <c r="J1684" t="s">
        <v>6305</v>
      </c>
      <c r="L1684" t="s">
        <v>79</v>
      </c>
      <c r="M1684" t="s">
        <v>72</v>
      </c>
      <c r="R1684" t="s">
        <v>9409</v>
      </c>
      <c r="W1684" t="s">
        <v>9408</v>
      </c>
      <c r="X1684" t="s">
        <v>2935</v>
      </c>
      <c r="Y1684" t="s">
        <v>117</v>
      </c>
      <c r="Z1684" t="s">
        <v>73</v>
      </c>
      <c r="AA1684" t="str">
        <f>"14220-2095"</f>
        <v>14220-2095</v>
      </c>
      <c r="AB1684" t="s">
        <v>74</v>
      </c>
      <c r="AC1684" t="s">
        <v>75</v>
      </c>
      <c r="AD1684" t="s">
        <v>72</v>
      </c>
      <c r="AE1684" t="s">
        <v>76</v>
      </c>
      <c r="AF1684" t="s">
        <v>3974</v>
      </c>
      <c r="AG1684" t="s">
        <v>77</v>
      </c>
    </row>
    <row r="1685" spans="1:33" x14ac:dyDescent="0.25">
      <c r="A1685" t="str">
        <f>"1043295868"</f>
        <v>1043295868</v>
      </c>
      <c r="B1685" t="str">
        <f>"00610595"</f>
        <v>00610595</v>
      </c>
      <c r="C1685" t="s">
        <v>9410</v>
      </c>
      <c r="D1685" t="s">
        <v>9411</v>
      </c>
      <c r="E1685" t="s">
        <v>9412</v>
      </c>
      <c r="G1685" t="s">
        <v>9413</v>
      </c>
      <c r="H1685" t="s">
        <v>9414</v>
      </c>
      <c r="J1685" t="s">
        <v>9415</v>
      </c>
      <c r="L1685" t="s">
        <v>80</v>
      </c>
      <c r="M1685" t="s">
        <v>72</v>
      </c>
      <c r="R1685" t="s">
        <v>9416</v>
      </c>
      <c r="W1685" t="s">
        <v>9417</v>
      </c>
      <c r="X1685" t="s">
        <v>1696</v>
      </c>
      <c r="Y1685" t="s">
        <v>326</v>
      </c>
      <c r="Z1685" t="s">
        <v>73</v>
      </c>
      <c r="AA1685" t="str">
        <f>"14127-1732"</f>
        <v>14127-1732</v>
      </c>
      <c r="AB1685" t="s">
        <v>74</v>
      </c>
      <c r="AC1685" t="s">
        <v>75</v>
      </c>
      <c r="AD1685" t="s">
        <v>72</v>
      </c>
      <c r="AE1685" t="s">
        <v>76</v>
      </c>
      <c r="AG1685" t="s">
        <v>77</v>
      </c>
    </row>
    <row r="1686" spans="1:33" x14ac:dyDescent="0.25">
      <c r="A1686" t="str">
        <f>"1851319685"</f>
        <v>1851319685</v>
      </c>
      <c r="B1686" t="str">
        <f>"01213372"</f>
        <v>01213372</v>
      </c>
      <c r="C1686" t="s">
        <v>9418</v>
      </c>
      <c r="D1686" t="s">
        <v>9419</v>
      </c>
      <c r="E1686" t="s">
        <v>9420</v>
      </c>
      <c r="G1686" t="s">
        <v>5351</v>
      </c>
      <c r="H1686" t="s">
        <v>5352</v>
      </c>
      <c r="J1686" t="s">
        <v>5353</v>
      </c>
      <c r="L1686" t="s">
        <v>80</v>
      </c>
      <c r="M1686" t="s">
        <v>72</v>
      </c>
      <c r="R1686" t="s">
        <v>9421</v>
      </c>
      <c r="W1686" t="s">
        <v>9420</v>
      </c>
      <c r="X1686" t="s">
        <v>289</v>
      </c>
      <c r="Y1686" t="s">
        <v>242</v>
      </c>
      <c r="Z1686" t="s">
        <v>73</v>
      </c>
      <c r="AA1686" t="str">
        <f>"14701-7087"</f>
        <v>14701-7087</v>
      </c>
      <c r="AB1686" t="s">
        <v>74</v>
      </c>
      <c r="AC1686" t="s">
        <v>75</v>
      </c>
      <c r="AD1686" t="s">
        <v>72</v>
      </c>
      <c r="AE1686" t="s">
        <v>76</v>
      </c>
      <c r="AF1686" t="s">
        <v>4049</v>
      </c>
      <c r="AG1686" t="s">
        <v>77</v>
      </c>
    </row>
    <row r="1687" spans="1:33" x14ac:dyDescent="0.25">
      <c r="A1687" t="str">
        <f>"1427050301"</f>
        <v>1427050301</v>
      </c>
      <c r="B1687" t="str">
        <f>"00611849"</f>
        <v>00611849</v>
      </c>
      <c r="C1687" t="s">
        <v>9422</v>
      </c>
      <c r="D1687" t="s">
        <v>9423</v>
      </c>
      <c r="E1687" t="s">
        <v>9424</v>
      </c>
      <c r="G1687" t="s">
        <v>5304</v>
      </c>
      <c r="H1687" t="s">
        <v>5305</v>
      </c>
      <c r="J1687" t="s">
        <v>5306</v>
      </c>
      <c r="L1687" t="s">
        <v>79</v>
      </c>
      <c r="M1687" t="s">
        <v>72</v>
      </c>
      <c r="R1687" t="s">
        <v>9425</v>
      </c>
      <c r="W1687" t="s">
        <v>9426</v>
      </c>
      <c r="X1687" t="s">
        <v>1209</v>
      </c>
      <c r="Y1687" t="s">
        <v>237</v>
      </c>
      <c r="Z1687" t="s">
        <v>73</v>
      </c>
      <c r="AA1687" t="str">
        <f>"14224-3444"</f>
        <v>14224-3444</v>
      </c>
      <c r="AB1687" t="s">
        <v>74</v>
      </c>
      <c r="AC1687" t="s">
        <v>75</v>
      </c>
      <c r="AD1687" t="s">
        <v>72</v>
      </c>
      <c r="AE1687" t="s">
        <v>76</v>
      </c>
      <c r="AF1687" t="s">
        <v>3974</v>
      </c>
      <c r="AG1687" t="s">
        <v>77</v>
      </c>
    </row>
    <row r="1688" spans="1:33" x14ac:dyDescent="0.25">
      <c r="A1688" t="str">
        <f>"1114941267"</f>
        <v>1114941267</v>
      </c>
      <c r="B1688" t="str">
        <f>"01843374"</f>
        <v>01843374</v>
      </c>
      <c r="C1688" t="s">
        <v>9427</v>
      </c>
      <c r="D1688" t="s">
        <v>9428</v>
      </c>
      <c r="E1688" t="s">
        <v>9429</v>
      </c>
      <c r="G1688" t="s">
        <v>4647</v>
      </c>
      <c r="H1688" t="s">
        <v>2062</v>
      </c>
      <c r="J1688" t="s">
        <v>4648</v>
      </c>
      <c r="L1688" t="s">
        <v>80</v>
      </c>
      <c r="M1688" t="s">
        <v>72</v>
      </c>
      <c r="R1688" t="s">
        <v>9430</v>
      </c>
      <c r="W1688" t="s">
        <v>9429</v>
      </c>
      <c r="X1688" t="s">
        <v>9429</v>
      </c>
      <c r="Y1688" t="s">
        <v>436</v>
      </c>
      <c r="Z1688" t="s">
        <v>73</v>
      </c>
      <c r="AA1688" t="str">
        <f>"14217-1038"</f>
        <v>14217-1038</v>
      </c>
      <c r="AB1688" t="s">
        <v>74</v>
      </c>
      <c r="AC1688" t="s">
        <v>75</v>
      </c>
      <c r="AD1688" t="s">
        <v>72</v>
      </c>
      <c r="AE1688" t="s">
        <v>76</v>
      </c>
      <c r="AF1688" t="s">
        <v>3961</v>
      </c>
      <c r="AG1688" t="s">
        <v>77</v>
      </c>
    </row>
    <row r="1689" spans="1:33" x14ac:dyDescent="0.25">
      <c r="A1689" t="str">
        <f>"1467428425"</f>
        <v>1467428425</v>
      </c>
      <c r="B1689" t="str">
        <f>"01413854"</f>
        <v>01413854</v>
      </c>
      <c r="C1689" t="s">
        <v>9431</v>
      </c>
      <c r="D1689" t="s">
        <v>875</v>
      </c>
      <c r="E1689" t="s">
        <v>876</v>
      </c>
      <c r="G1689" t="s">
        <v>5402</v>
      </c>
      <c r="H1689" t="s">
        <v>877</v>
      </c>
      <c r="J1689" t="s">
        <v>5403</v>
      </c>
      <c r="L1689" t="s">
        <v>80</v>
      </c>
      <c r="M1689" t="s">
        <v>72</v>
      </c>
      <c r="R1689" t="s">
        <v>878</v>
      </c>
      <c r="W1689" t="s">
        <v>879</v>
      </c>
      <c r="X1689" t="s">
        <v>880</v>
      </c>
      <c r="Y1689" t="s">
        <v>817</v>
      </c>
      <c r="Z1689" t="s">
        <v>73</v>
      </c>
      <c r="AA1689" t="str">
        <f>"14063-1769"</f>
        <v>14063-1769</v>
      </c>
      <c r="AB1689" t="s">
        <v>74</v>
      </c>
      <c r="AC1689" t="s">
        <v>75</v>
      </c>
      <c r="AD1689" t="s">
        <v>72</v>
      </c>
      <c r="AE1689" t="s">
        <v>76</v>
      </c>
      <c r="AF1689" t="s">
        <v>4049</v>
      </c>
      <c r="AG1689" t="s">
        <v>77</v>
      </c>
    </row>
    <row r="1690" spans="1:33" x14ac:dyDescent="0.25">
      <c r="A1690" t="str">
        <f>"1467428599"</f>
        <v>1467428599</v>
      </c>
      <c r="B1690" t="str">
        <f>"02619643"</f>
        <v>02619643</v>
      </c>
      <c r="C1690" t="s">
        <v>9432</v>
      </c>
      <c r="D1690" t="s">
        <v>881</v>
      </c>
      <c r="E1690" t="s">
        <v>882</v>
      </c>
      <c r="G1690" t="s">
        <v>9432</v>
      </c>
      <c r="H1690" t="s">
        <v>1131</v>
      </c>
      <c r="J1690" t="s">
        <v>9433</v>
      </c>
      <c r="L1690" t="s">
        <v>79</v>
      </c>
      <c r="M1690" t="s">
        <v>72</v>
      </c>
      <c r="R1690" t="s">
        <v>883</v>
      </c>
      <c r="W1690" t="s">
        <v>882</v>
      </c>
      <c r="X1690" t="s">
        <v>295</v>
      </c>
      <c r="Y1690" t="s">
        <v>117</v>
      </c>
      <c r="Z1690" t="s">
        <v>73</v>
      </c>
      <c r="AA1690" t="str">
        <f>"14215-3021"</f>
        <v>14215-3021</v>
      </c>
      <c r="AB1690" t="s">
        <v>74</v>
      </c>
      <c r="AC1690" t="s">
        <v>75</v>
      </c>
      <c r="AD1690" t="s">
        <v>72</v>
      </c>
      <c r="AE1690" t="s">
        <v>76</v>
      </c>
      <c r="AG1690" t="s">
        <v>77</v>
      </c>
    </row>
    <row r="1691" spans="1:33" x14ac:dyDescent="0.25">
      <c r="A1691" t="str">
        <f>"1417939802"</f>
        <v>1417939802</v>
      </c>
      <c r="B1691" t="str">
        <f>"01558621"</f>
        <v>01558621</v>
      </c>
      <c r="C1691" t="s">
        <v>9434</v>
      </c>
      <c r="D1691" t="s">
        <v>1608</v>
      </c>
      <c r="E1691" t="s">
        <v>1609</v>
      </c>
      <c r="G1691" t="s">
        <v>9435</v>
      </c>
      <c r="H1691" t="s">
        <v>1610</v>
      </c>
      <c r="J1691" t="s">
        <v>9436</v>
      </c>
      <c r="L1691" t="s">
        <v>79</v>
      </c>
      <c r="M1691" t="s">
        <v>72</v>
      </c>
      <c r="R1691" t="s">
        <v>1611</v>
      </c>
      <c r="W1691" t="s">
        <v>1612</v>
      </c>
      <c r="X1691" t="s">
        <v>1613</v>
      </c>
      <c r="Y1691" t="s">
        <v>117</v>
      </c>
      <c r="Z1691" t="s">
        <v>73</v>
      </c>
      <c r="AA1691" t="str">
        <f>"14216-2905"</f>
        <v>14216-2905</v>
      </c>
      <c r="AB1691" t="s">
        <v>74</v>
      </c>
      <c r="AC1691" t="s">
        <v>75</v>
      </c>
      <c r="AD1691" t="s">
        <v>72</v>
      </c>
      <c r="AE1691" t="s">
        <v>76</v>
      </c>
      <c r="AF1691" t="s">
        <v>3974</v>
      </c>
      <c r="AG1691" t="s">
        <v>77</v>
      </c>
    </row>
    <row r="1692" spans="1:33" x14ac:dyDescent="0.25">
      <c r="A1692" t="str">
        <f>"1649276189"</f>
        <v>1649276189</v>
      </c>
      <c r="B1692" t="str">
        <f>"01218271"</f>
        <v>01218271</v>
      </c>
      <c r="C1692" t="s">
        <v>9437</v>
      </c>
      <c r="D1692" t="s">
        <v>2491</v>
      </c>
      <c r="E1692" t="s">
        <v>2492</v>
      </c>
      <c r="G1692" t="s">
        <v>9438</v>
      </c>
      <c r="H1692" t="s">
        <v>2493</v>
      </c>
      <c r="J1692" t="s">
        <v>9439</v>
      </c>
      <c r="L1692" t="s">
        <v>80</v>
      </c>
      <c r="M1692" t="s">
        <v>72</v>
      </c>
      <c r="R1692" t="s">
        <v>2494</v>
      </c>
      <c r="W1692" t="s">
        <v>2492</v>
      </c>
      <c r="X1692" t="s">
        <v>2289</v>
      </c>
      <c r="Y1692" t="s">
        <v>117</v>
      </c>
      <c r="Z1692" t="s">
        <v>73</v>
      </c>
      <c r="AA1692" t="str">
        <f>"14209-1120"</f>
        <v>14209-1120</v>
      </c>
      <c r="AB1692" t="s">
        <v>74</v>
      </c>
      <c r="AC1692" t="s">
        <v>75</v>
      </c>
      <c r="AD1692" t="s">
        <v>72</v>
      </c>
      <c r="AE1692" t="s">
        <v>76</v>
      </c>
      <c r="AF1692" t="s">
        <v>3974</v>
      </c>
      <c r="AG1692" t="s">
        <v>77</v>
      </c>
    </row>
    <row r="1693" spans="1:33" x14ac:dyDescent="0.25">
      <c r="A1693" t="str">
        <f>"1942269964"</f>
        <v>1942269964</v>
      </c>
      <c r="B1693" t="str">
        <f>"02564083"</f>
        <v>02564083</v>
      </c>
      <c r="C1693" t="s">
        <v>9440</v>
      </c>
      <c r="D1693" t="s">
        <v>2857</v>
      </c>
      <c r="E1693" t="s">
        <v>2858</v>
      </c>
      <c r="G1693" t="s">
        <v>5010</v>
      </c>
      <c r="H1693" t="s">
        <v>1119</v>
      </c>
      <c r="J1693" t="s">
        <v>5011</v>
      </c>
      <c r="L1693" t="s">
        <v>79</v>
      </c>
      <c r="M1693" t="s">
        <v>72</v>
      </c>
      <c r="R1693" t="s">
        <v>2858</v>
      </c>
      <c r="W1693" t="s">
        <v>2859</v>
      </c>
      <c r="X1693" t="s">
        <v>385</v>
      </c>
      <c r="Y1693" t="s">
        <v>228</v>
      </c>
      <c r="Z1693" t="s">
        <v>73</v>
      </c>
      <c r="AA1693" t="str">
        <f>"14226-1738"</f>
        <v>14226-1738</v>
      </c>
      <c r="AB1693" t="s">
        <v>74</v>
      </c>
      <c r="AC1693" t="s">
        <v>75</v>
      </c>
      <c r="AD1693" t="s">
        <v>72</v>
      </c>
      <c r="AE1693" t="s">
        <v>76</v>
      </c>
      <c r="AF1693" t="s">
        <v>3974</v>
      </c>
      <c r="AG1693" t="s">
        <v>77</v>
      </c>
    </row>
    <row r="1694" spans="1:33" x14ac:dyDescent="0.25">
      <c r="A1694" t="str">
        <f>"1376500157"</f>
        <v>1376500157</v>
      </c>
      <c r="B1694" t="str">
        <f>"02238342"</f>
        <v>02238342</v>
      </c>
      <c r="C1694" t="s">
        <v>9441</v>
      </c>
      <c r="D1694" t="s">
        <v>9442</v>
      </c>
      <c r="E1694" t="s">
        <v>9443</v>
      </c>
      <c r="G1694" t="s">
        <v>9441</v>
      </c>
      <c r="H1694" t="s">
        <v>6466</v>
      </c>
      <c r="J1694" t="s">
        <v>9444</v>
      </c>
      <c r="L1694" t="s">
        <v>80</v>
      </c>
      <c r="M1694" t="s">
        <v>72</v>
      </c>
      <c r="R1694" t="s">
        <v>9445</v>
      </c>
      <c r="W1694" t="s">
        <v>9443</v>
      </c>
      <c r="X1694" t="s">
        <v>704</v>
      </c>
      <c r="Y1694" t="s">
        <v>221</v>
      </c>
      <c r="Z1694" t="s">
        <v>73</v>
      </c>
      <c r="AA1694" t="str">
        <f>"14221-8243"</f>
        <v>14221-8243</v>
      </c>
      <c r="AB1694" t="s">
        <v>74</v>
      </c>
      <c r="AC1694" t="s">
        <v>75</v>
      </c>
      <c r="AD1694" t="s">
        <v>72</v>
      </c>
      <c r="AE1694" t="s">
        <v>76</v>
      </c>
      <c r="AG1694" t="s">
        <v>77</v>
      </c>
    </row>
    <row r="1695" spans="1:33" x14ac:dyDescent="0.25">
      <c r="A1695" t="str">
        <f>"1215967880"</f>
        <v>1215967880</v>
      </c>
      <c r="B1695" t="str">
        <f>"01885203"</f>
        <v>01885203</v>
      </c>
      <c r="C1695" t="s">
        <v>9446</v>
      </c>
      <c r="D1695" t="s">
        <v>2699</v>
      </c>
      <c r="E1695" t="s">
        <v>2700</v>
      </c>
      <c r="G1695" t="s">
        <v>4003</v>
      </c>
      <c r="H1695" t="s">
        <v>1733</v>
      </c>
      <c r="J1695" t="s">
        <v>4004</v>
      </c>
      <c r="L1695" t="s">
        <v>80</v>
      </c>
      <c r="M1695" t="s">
        <v>72</v>
      </c>
      <c r="R1695" t="s">
        <v>2701</v>
      </c>
      <c r="W1695" t="s">
        <v>2700</v>
      </c>
      <c r="X1695" t="s">
        <v>2702</v>
      </c>
      <c r="Y1695" t="s">
        <v>117</v>
      </c>
      <c r="Z1695" t="s">
        <v>73</v>
      </c>
      <c r="AA1695" t="str">
        <f>"14215-1433"</f>
        <v>14215-1433</v>
      </c>
      <c r="AB1695" t="s">
        <v>74</v>
      </c>
      <c r="AC1695" t="s">
        <v>75</v>
      </c>
      <c r="AD1695" t="s">
        <v>72</v>
      </c>
      <c r="AE1695" t="s">
        <v>76</v>
      </c>
      <c r="AF1695" t="s">
        <v>3961</v>
      </c>
      <c r="AG1695" t="s">
        <v>77</v>
      </c>
    </row>
    <row r="1696" spans="1:33" x14ac:dyDescent="0.25">
      <c r="A1696" t="str">
        <f>"1881760049"</f>
        <v>1881760049</v>
      </c>
      <c r="B1696" t="str">
        <f>"02793777"</f>
        <v>02793777</v>
      </c>
      <c r="C1696" t="s">
        <v>9447</v>
      </c>
      <c r="D1696" t="s">
        <v>3844</v>
      </c>
      <c r="E1696" t="s">
        <v>3845</v>
      </c>
      <c r="G1696" t="s">
        <v>4066</v>
      </c>
      <c r="H1696" t="s">
        <v>4067</v>
      </c>
      <c r="J1696" t="s">
        <v>4068</v>
      </c>
      <c r="L1696" t="s">
        <v>71</v>
      </c>
      <c r="M1696" t="s">
        <v>72</v>
      </c>
      <c r="R1696" t="s">
        <v>3846</v>
      </c>
      <c r="W1696" t="s">
        <v>3847</v>
      </c>
      <c r="X1696" t="s">
        <v>141</v>
      </c>
      <c r="Y1696" t="s">
        <v>142</v>
      </c>
      <c r="Z1696" t="s">
        <v>73</v>
      </c>
      <c r="AA1696" t="str">
        <f>"12401-4626"</f>
        <v>12401-4626</v>
      </c>
      <c r="AB1696" t="s">
        <v>74</v>
      </c>
      <c r="AC1696" t="s">
        <v>75</v>
      </c>
      <c r="AD1696" t="s">
        <v>72</v>
      </c>
      <c r="AE1696" t="s">
        <v>76</v>
      </c>
      <c r="AF1696" t="s">
        <v>3974</v>
      </c>
      <c r="AG1696" t="s">
        <v>77</v>
      </c>
    </row>
    <row r="1697" spans="1:33" x14ac:dyDescent="0.25">
      <c r="A1697" t="str">
        <f>"1063459006"</f>
        <v>1063459006</v>
      </c>
      <c r="B1697" t="str">
        <f>"02739095"</f>
        <v>02739095</v>
      </c>
      <c r="C1697" t="s">
        <v>9448</v>
      </c>
      <c r="D1697" t="s">
        <v>9449</v>
      </c>
      <c r="E1697" t="s">
        <v>9450</v>
      </c>
      <c r="G1697" t="s">
        <v>3969</v>
      </c>
      <c r="H1697" t="s">
        <v>3970</v>
      </c>
      <c r="J1697" t="s">
        <v>3971</v>
      </c>
      <c r="L1697" t="s">
        <v>79</v>
      </c>
      <c r="M1697" t="s">
        <v>72</v>
      </c>
      <c r="R1697" t="s">
        <v>9451</v>
      </c>
      <c r="W1697" t="s">
        <v>9452</v>
      </c>
      <c r="X1697" t="s">
        <v>234</v>
      </c>
      <c r="Y1697" t="s">
        <v>117</v>
      </c>
      <c r="Z1697" t="s">
        <v>73</v>
      </c>
      <c r="AA1697" t="str">
        <f>"14220-2039"</f>
        <v>14220-2039</v>
      </c>
      <c r="AB1697" t="s">
        <v>74</v>
      </c>
      <c r="AC1697" t="s">
        <v>75</v>
      </c>
      <c r="AD1697" t="s">
        <v>72</v>
      </c>
      <c r="AE1697" t="s">
        <v>76</v>
      </c>
      <c r="AF1697" t="s">
        <v>3974</v>
      </c>
      <c r="AG1697" t="s">
        <v>77</v>
      </c>
    </row>
    <row r="1698" spans="1:33" x14ac:dyDescent="0.25">
      <c r="A1698" t="str">
        <f>"1750510418"</f>
        <v>1750510418</v>
      </c>
      <c r="B1698" t="str">
        <f>"03487625"</f>
        <v>03487625</v>
      </c>
      <c r="C1698" t="s">
        <v>9453</v>
      </c>
      <c r="D1698" t="s">
        <v>9454</v>
      </c>
      <c r="E1698" t="s">
        <v>9455</v>
      </c>
      <c r="G1698" t="s">
        <v>9453</v>
      </c>
      <c r="H1698" t="s">
        <v>6994</v>
      </c>
      <c r="J1698" t="s">
        <v>9456</v>
      </c>
      <c r="L1698" t="s">
        <v>80</v>
      </c>
      <c r="M1698" t="s">
        <v>72</v>
      </c>
      <c r="R1698" t="s">
        <v>9457</v>
      </c>
      <c r="W1698" t="s">
        <v>9455</v>
      </c>
      <c r="X1698" t="s">
        <v>7494</v>
      </c>
      <c r="Y1698" t="s">
        <v>247</v>
      </c>
      <c r="Z1698" t="s">
        <v>73</v>
      </c>
      <c r="AA1698" t="str">
        <f>"14225-4031"</f>
        <v>14225-4031</v>
      </c>
      <c r="AB1698" t="s">
        <v>74</v>
      </c>
      <c r="AC1698" t="s">
        <v>75</v>
      </c>
      <c r="AD1698" t="s">
        <v>72</v>
      </c>
      <c r="AE1698" t="s">
        <v>76</v>
      </c>
      <c r="AG1698" t="s">
        <v>77</v>
      </c>
    </row>
    <row r="1699" spans="1:33" x14ac:dyDescent="0.25">
      <c r="A1699" t="str">
        <f>"1992771935"</f>
        <v>1992771935</v>
      </c>
      <c r="B1699" t="str">
        <f>"01227641"</f>
        <v>01227641</v>
      </c>
      <c r="C1699" t="s">
        <v>9458</v>
      </c>
      <c r="D1699" t="s">
        <v>3488</v>
      </c>
      <c r="E1699" t="s">
        <v>3489</v>
      </c>
      <c r="G1699" t="s">
        <v>5402</v>
      </c>
      <c r="H1699" t="s">
        <v>877</v>
      </c>
      <c r="J1699" t="s">
        <v>5403</v>
      </c>
      <c r="L1699" t="s">
        <v>80</v>
      </c>
      <c r="M1699" t="s">
        <v>72</v>
      </c>
      <c r="R1699" t="s">
        <v>3490</v>
      </c>
      <c r="W1699" t="s">
        <v>3491</v>
      </c>
      <c r="X1699" t="s">
        <v>880</v>
      </c>
      <c r="Y1699" t="s">
        <v>817</v>
      </c>
      <c r="Z1699" t="s">
        <v>73</v>
      </c>
      <c r="AA1699" t="str">
        <f>"14063-1769"</f>
        <v>14063-1769</v>
      </c>
      <c r="AB1699" t="s">
        <v>74</v>
      </c>
      <c r="AC1699" t="s">
        <v>75</v>
      </c>
      <c r="AD1699" t="s">
        <v>72</v>
      </c>
      <c r="AE1699" t="s">
        <v>76</v>
      </c>
      <c r="AF1699" t="s">
        <v>4049</v>
      </c>
      <c r="AG1699" t="s">
        <v>77</v>
      </c>
    </row>
    <row r="1700" spans="1:33" x14ac:dyDescent="0.25">
      <c r="A1700" t="str">
        <f>"1881658672"</f>
        <v>1881658672</v>
      </c>
      <c r="B1700" t="str">
        <f>"01423289"</f>
        <v>01423289</v>
      </c>
      <c r="C1700" t="s">
        <v>9459</v>
      </c>
      <c r="D1700" t="s">
        <v>3452</v>
      </c>
      <c r="E1700" t="s">
        <v>3453</v>
      </c>
      <c r="G1700" t="s">
        <v>5185</v>
      </c>
      <c r="H1700" t="s">
        <v>1015</v>
      </c>
      <c r="J1700" t="s">
        <v>5186</v>
      </c>
      <c r="L1700" t="s">
        <v>79</v>
      </c>
      <c r="M1700" t="s">
        <v>72</v>
      </c>
      <c r="R1700" t="s">
        <v>3454</v>
      </c>
      <c r="W1700" t="s">
        <v>3455</v>
      </c>
      <c r="X1700" t="s">
        <v>3456</v>
      </c>
      <c r="Y1700" t="s">
        <v>87</v>
      </c>
      <c r="Z1700" t="s">
        <v>73</v>
      </c>
      <c r="AA1700" t="str">
        <f>"10025"</f>
        <v>10025</v>
      </c>
      <c r="AB1700" t="s">
        <v>74</v>
      </c>
      <c r="AC1700" t="s">
        <v>75</v>
      </c>
      <c r="AD1700" t="s">
        <v>72</v>
      </c>
      <c r="AE1700" t="s">
        <v>76</v>
      </c>
      <c r="AF1700" t="s">
        <v>3974</v>
      </c>
      <c r="AG1700" t="s">
        <v>77</v>
      </c>
    </row>
    <row r="1701" spans="1:33" x14ac:dyDescent="0.25">
      <c r="A1701" t="str">
        <f>"1265579536"</f>
        <v>1265579536</v>
      </c>
      <c r="B1701" t="str">
        <f>"00604595"</f>
        <v>00604595</v>
      </c>
      <c r="C1701" t="s">
        <v>9460</v>
      </c>
      <c r="D1701" t="s">
        <v>9461</v>
      </c>
      <c r="E1701" t="s">
        <v>9462</v>
      </c>
      <c r="G1701" t="s">
        <v>9463</v>
      </c>
      <c r="H1701" t="s">
        <v>9464</v>
      </c>
      <c r="J1701" t="s">
        <v>9465</v>
      </c>
      <c r="L1701" t="s">
        <v>79</v>
      </c>
      <c r="M1701" t="s">
        <v>72</v>
      </c>
      <c r="R1701" t="s">
        <v>9466</v>
      </c>
      <c r="W1701" t="s">
        <v>9467</v>
      </c>
      <c r="X1701" t="s">
        <v>234</v>
      </c>
      <c r="Y1701" t="s">
        <v>117</v>
      </c>
      <c r="Z1701" t="s">
        <v>73</v>
      </c>
      <c r="AA1701" t="str">
        <f>"14220-2039"</f>
        <v>14220-2039</v>
      </c>
      <c r="AB1701" t="s">
        <v>74</v>
      </c>
      <c r="AC1701" t="s">
        <v>75</v>
      </c>
      <c r="AD1701" t="s">
        <v>72</v>
      </c>
      <c r="AE1701" t="s">
        <v>76</v>
      </c>
      <c r="AF1701" t="s">
        <v>3974</v>
      </c>
      <c r="AG1701" t="s">
        <v>77</v>
      </c>
    </row>
    <row r="1702" spans="1:33" x14ac:dyDescent="0.25">
      <c r="A1702" t="str">
        <f>"1134197650"</f>
        <v>1134197650</v>
      </c>
      <c r="B1702" t="str">
        <f>"01476677"</f>
        <v>01476677</v>
      </c>
      <c r="C1702" t="s">
        <v>9468</v>
      </c>
      <c r="D1702" t="s">
        <v>9469</v>
      </c>
      <c r="E1702" t="s">
        <v>9470</v>
      </c>
      <c r="G1702" t="s">
        <v>5509</v>
      </c>
      <c r="H1702" t="s">
        <v>5510</v>
      </c>
      <c r="J1702" t="s">
        <v>5511</v>
      </c>
      <c r="L1702" t="s">
        <v>79</v>
      </c>
      <c r="M1702" t="s">
        <v>72</v>
      </c>
      <c r="R1702" t="s">
        <v>9471</v>
      </c>
      <c r="W1702" t="s">
        <v>9470</v>
      </c>
      <c r="X1702" t="s">
        <v>2798</v>
      </c>
      <c r="Y1702" t="s">
        <v>117</v>
      </c>
      <c r="Z1702" t="s">
        <v>73</v>
      </c>
      <c r="AA1702" t="str">
        <f>"14214-2648"</f>
        <v>14214-2648</v>
      </c>
      <c r="AB1702" t="s">
        <v>74</v>
      </c>
      <c r="AC1702" t="s">
        <v>75</v>
      </c>
      <c r="AD1702" t="s">
        <v>72</v>
      </c>
      <c r="AE1702" t="s">
        <v>76</v>
      </c>
      <c r="AF1702" t="s">
        <v>3961</v>
      </c>
      <c r="AG1702" t="s">
        <v>77</v>
      </c>
    </row>
    <row r="1703" spans="1:33" x14ac:dyDescent="0.25">
      <c r="A1703" t="str">
        <f>"1134114051"</f>
        <v>1134114051</v>
      </c>
      <c r="B1703" t="str">
        <f>"01732609"</f>
        <v>01732609</v>
      </c>
      <c r="C1703" t="s">
        <v>9472</v>
      </c>
      <c r="D1703" t="s">
        <v>2892</v>
      </c>
      <c r="E1703" t="s">
        <v>2893</v>
      </c>
      <c r="G1703" t="s">
        <v>6088</v>
      </c>
      <c r="H1703" t="s">
        <v>623</v>
      </c>
      <c r="J1703" t="s">
        <v>6089</v>
      </c>
      <c r="L1703" t="s">
        <v>79</v>
      </c>
      <c r="M1703" t="s">
        <v>72</v>
      </c>
      <c r="R1703" t="s">
        <v>2894</v>
      </c>
      <c r="W1703" t="s">
        <v>2893</v>
      </c>
      <c r="X1703" t="s">
        <v>1968</v>
      </c>
      <c r="Y1703" t="s">
        <v>237</v>
      </c>
      <c r="Z1703" t="s">
        <v>73</v>
      </c>
      <c r="AA1703" t="str">
        <f>"14224-2655"</f>
        <v>14224-2655</v>
      </c>
      <c r="AB1703" t="s">
        <v>74</v>
      </c>
      <c r="AC1703" t="s">
        <v>75</v>
      </c>
      <c r="AD1703" t="s">
        <v>72</v>
      </c>
      <c r="AE1703" t="s">
        <v>76</v>
      </c>
      <c r="AF1703" t="s">
        <v>3974</v>
      </c>
      <c r="AG1703" t="s">
        <v>77</v>
      </c>
    </row>
    <row r="1704" spans="1:33" x14ac:dyDescent="0.25">
      <c r="A1704" t="str">
        <f>"1982636650"</f>
        <v>1982636650</v>
      </c>
      <c r="B1704" t="str">
        <f>"01191877"</f>
        <v>01191877</v>
      </c>
      <c r="C1704" t="s">
        <v>9473</v>
      </c>
      <c r="D1704" t="s">
        <v>3654</v>
      </c>
      <c r="E1704" t="s">
        <v>3655</v>
      </c>
      <c r="G1704" t="s">
        <v>5742</v>
      </c>
      <c r="H1704" t="s">
        <v>1408</v>
      </c>
      <c r="J1704" t="s">
        <v>5743</v>
      </c>
      <c r="L1704" t="s">
        <v>80</v>
      </c>
      <c r="M1704" t="s">
        <v>72</v>
      </c>
      <c r="R1704" t="s">
        <v>3656</v>
      </c>
      <c r="W1704" t="s">
        <v>3657</v>
      </c>
      <c r="X1704" t="s">
        <v>3658</v>
      </c>
      <c r="Y1704" t="s">
        <v>247</v>
      </c>
      <c r="Z1704" t="s">
        <v>73</v>
      </c>
      <c r="AA1704" t="str">
        <f>"14225-4031"</f>
        <v>14225-4031</v>
      </c>
      <c r="AB1704" t="s">
        <v>74</v>
      </c>
      <c r="AC1704" t="s">
        <v>75</v>
      </c>
      <c r="AD1704" t="s">
        <v>72</v>
      </c>
      <c r="AE1704" t="s">
        <v>76</v>
      </c>
      <c r="AF1704" t="s">
        <v>3961</v>
      </c>
      <c r="AG1704" t="s">
        <v>77</v>
      </c>
    </row>
    <row r="1705" spans="1:33" x14ac:dyDescent="0.25">
      <c r="A1705" t="str">
        <f>"1851327951"</f>
        <v>1851327951</v>
      </c>
      <c r="B1705" t="str">
        <f>"02146972"</f>
        <v>02146972</v>
      </c>
      <c r="C1705" t="s">
        <v>9474</v>
      </c>
      <c r="D1705" t="s">
        <v>9475</v>
      </c>
      <c r="E1705" t="s">
        <v>9476</v>
      </c>
      <c r="G1705" t="s">
        <v>3988</v>
      </c>
      <c r="H1705" t="s">
        <v>1302</v>
      </c>
      <c r="J1705" t="s">
        <v>3989</v>
      </c>
      <c r="L1705" t="s">
        <v>79</v>
      </c>
      <c r="M1705" t="s">
        <v>72</v>
      </c>
      <c r="R1705" t="s">
        <v>9477</v>
      </c>
      <c r="W1705" t="s">
        <v>9476</v>
      </c>
      <c r="X1705" t="s">
        <v>1529</v>
      </c>
      <c r="Y1705" t="s">
        <v>221</v>
      </c>
      <c r="Z1705" t="s">
        <v>73</v>
      </c>
      <c r="AA1705" t="str">
        <f>"14221-7717"</f>
        <v>14221-7717</v>
      </c>
      <c r="AB1705" t="s">
        <v>74</v>
      </c>
      <c r="AC1705" t="s">
        <v>75</v>
      </c>
      <c r="AD1705" t="s">
        <v>72</v>
      </c>
      <c r="AE1705" t="s">
        <v>76</v>
      </c>
      <c r="AF1705" t="s">
        <v>3974</v>
      </c>
      <c r="AG1705" t="s">
        <v>77</v>
      </c>
    </row>
    <row r="1706" spans="1:33" x14ac:dyDescent="0.25">
      <c r="A1706" t="str">
        <f>"1508068628"</f>
        <v>1508068628</v>
      </c>
      <c r="B1706" t="str">
        <f>"03361846"</f>
        <v>03361846</v>
      </c>
      <c r="C1706" t="s">
        <v>9478</v>
      </c>
      <c r="D1706" t="s">
        <v>9479</v>
      </c>
      <c r="E1706" t="s">
        <v>9480</v>
      </c>
      <c r="G1706" t="s">
        <v>4883</v>
      </c>
      <c r="H1706" t="s">
        <v>3216</v>
      </c>
      <c r="J1706" t="s">
        <v>4884</v>
      </c>
      <c r="L1706" t="s">
        <v>79</v>
      </c>
      <c r="M1706" t="s">
        <v>72</v>
      </c>
      <c r="R1706" t="s">
        <v>9481</v>
      </c>
      <c r="W1706" t="s">
        <v>9482</v>
      </c>
      <c r="X1706" t="s">
        <v>187</v>
      </c>
      <c r="Y1706" t="s">
        <v>188</v>
      </c>
      <c r="Z1706" t="s">
        <v>73</v>
      </c>
      <c r="AA1706" t="str">
        <f>"14092-1903"</f>
        <v>14092-1903</v>
      </c>
      <c r="AB1706" t="s">
        <v>74</v>
      </c>
      <c r="AC1706" t="s">
        <v>75</v>
      </c>
      <c r="AD1706" t="s">
        <v>72</v>
      </c>
      <c r="AE1706" t="s">
        <v>76</v>
      </c>
      <c r="AF1706" t="s">
        <v>3974</v>
      </c>
      <c r="AG1706" t="s">
        <v>77</v>
      </c>
    </row>
    <row r="1707" spans="1:33" x14ac:dyDescent="0.25">
      <c r="A1707" t="str">
        <f>"1194784892"</f>
        <v>1194784892</v>
      </c>
      <c r="B1707" t="str">
        <f>"01837847"</f>
        <v>01837847</v>
      </c>
      <c r="C1707" t="s">
        <v>9483</v>
      </c>
      <c r="D1707" t="s">
        <v>9484</v>
      </c>
      <c r="E1707" t="s">
        <v>9485</v>
      </c>
      <c r="G1707" t="s">
        <v>5946</v>
      </c>
      <c r="H1707" t="s">
        <v>5947</v>
      </c>
      <c r="J1707" t="s">
        <v>5948</v>
      </c>
      <c r="L1707" t="s">
        <v>79</v>
      </c>
      <c r="M1707" t="s">
        <v>72</v>
      </c>
      <c r="R1707" t="s">
        <v>9486</v>
      </c>
      <c r="W1707" t="s">
        <v>9487</v>
      </c>
      <c r="X1707" t="s">
        <v>3945</v>
      </c>
      <c r="Y1707" t="s">
        <v>82</v>
      </c>
      <c r="Z1707" t="s">
        <v>73</v>
      </c>
      <c r="AA1707" t="str">
        <f>"11373"</f>
        <v>11373</v>
      </c>
      <c r="AB1707" t="s">
        <v>74</v>
      </c>
      <c r="AC1707" t="s">
        <v>75</v>
      </c>
      <c r="AD1707" t="s">
        <v>72</v>
      </c>
      <c r="AE1707" t="s">
        <v>76</v>
      </c>
      <c r="AF1707" t="s">
        <v>3974</v>
      </c>
      <c r="AG1707" t="s">
        <v>77</v>
      </c>
    </row>
    <row r="1708" spans="1:33" x14ac:dyDescent="0.25">
      <c r="A1708" t="str">
        <f>"1376596841"</f>
        <v>1376596841</v>
      </c>
      <c r="B1708" t="str">
        <f>"01272059"</f>
        <v>01272059</v>
      </c>
      <c r="C1708" t="s">
        <v>9488</v>
      </c>
      <c r="D1708" t="s">
        <v>9489</v>
      </c>
      <c r="E1708" t="s">
        <v>9490</v>
      </c>
      <c r="G1708" t="s">
        <v>3969</v>
      </c>
      <c r="H1708" t="s">
        <v>3970</v>
      </c>
      <c r="J1708" t="s">
        <v>3971</v>
      </c>
      <c r="L1708" t="s">
        <v>79</v>
      </c>
      <c r="M1708" t="s">
        <v>72</v>
      </c>
      <c r="R1708" t="s">
        <v>9491</v>
      </c>
      <c r="W1708" t="s">
        <v>9490</v>
      </c>
      <c r="X1708" t="s">
        <v>446</v>
      </c>
      <c r="Y1708" t="s">
        <v>221</v>
      </c>
      <c r="Z1708" t="s">
        <v>73</v>
      </c>
      <c r="AA1708" t="str">
        <f>"14221-3698"</f>
        <v>14221-3698</v>
      </c>
      <c r="AB1708" t="s">
        <v>74</v>
      </c>
      <c r="AC1708" t="s">
        <v>75</v>
      </c>
      <c r="AD1708" t="s">
        <v>72</v>
      </c>
      <c r="AE1708" t="s">
        <v>76</v>
      </c>
      <c r="AF1708" t="s">
        <v>3974</v>
      </c>
      <c r="AG1708" t="s">
        <v>77</v>
      </c>
    </row>
    <row r="1709" spans="1:33" x14ac:dyDescent="0.25">
      <c r="A1709" t="str">
        <f>"1790807410"</f>
        <v>1790807410</v>
      </c>
      <c r="B1709" t="str">
        <f>"02098662"</f>
        <v>02098662</v>
      </c>
      <c r="C1709" t="s">
        <v>9492</v>
      </c>
      <c r="D1709" t="s">
        <v>3529</v>
      </c>
      <c r="E1709" t="s">
        <v>3530</v>
      </c>
      <c r="G1709" t="s">
        <v>4856</v>
      </c>
      <c r="H1709" t="s">
        <v>1762</v>
      </c>
      <c r="J1709" t="s">
        <v>4857</v>
      </c>
      <c r="L1709" t="s">
        <v>71</v>
      </c>
      <c r="M1709" t="s">
        <v>72</v>
      </c>
      <c r="R1709" t="s">
        <v>3531</v>
      </c>
      <c r="W1709" t="s">
        <v>3530</v>
      </c>
      <c r="X1709" t="s">
        <v>3532</v>
      </c>
      <c r="Y1709" t="s">
        <v>184</v>
      </c>
      <c r="Z1709" t="s">
        <v>73</v>
      </c>
      <c r="AA1709" t="str">
        <f>"13502-5629"</f>
        <v>13502-5629</v>
      </c>
      <c r="AB1709" t="s">
        <v>74</v>
      </c>
      <c r="AC1709" t="s">
        <v>75</v>
      </c>
      <c r="AD1709" t="s">
        <v>72</v>
      </c>
      <c r="AE1709" t="s">
        <v>76</v>
      </c>
      <c r="AF1709" t="s">
        <v>3974</v>
      </c>
      <c r="AG1709" t="s">
        <v>77</v>
      </c>
    </row>
    <row r="1710" spans="1:33" x14ac:dyDescent="0.25">
      <c r="A1710" t="str">
        <f>"1629077391"</f>
        <v>1629077391</v>
      </c>
      <c r="B1710" t="str">
        <f>"01075516"</f>
        <v>01075516</v>
      </c>
      <c r="C1710" t="s">
        <v>9493</v>
      </c>
      <c r="D1710" t="s">
        <v>3059</v>
      </c>
      <c r="E1710" t="s">
        <v>3060</v>
      </c>
      <c r="G1710" t="s">
        <v>9494</v>
      </c>
      <c r="H1710" t="s">
        <v>575</v>
      </c>
      <c r="J1710" t="s">
        <v>9495</v>
      </c>
      <c r="L1710" t="s">
        <v>80</v>
      </c>
      <c r="M1710" t="s">
        <v>72</v>
      </c>
      <c r="R1710" t="s">
        <v>3061</v>
      </c>
      <c r="W1710" t="s">
        <v>3060</v>
      </c>
      <c r="X1710" t="s">
        <v>1845</v>
      </c>
      <c r="Y1710" t="s">
        <v>733</v>
      </c>
      <c r="Z1710" t="s">
        <v>73</v>
      </c>
      <c r="AA1710" t="str">
        <f>"14120-4631"</f>
        <v>14120-4631</v>
      </c>
      <c r="AB1710" t="s">
        <v>74</v>
      </c>
      <c r="AC1710" t="s">
        <v>75</v>
      </c>
      <c r="AD1710" t="s">
        <v>72</v>
      </c>
      <c r="AE1710" t="s">
        <v>76</v>
      </c>
      <c r="AF1710" t="s">
        <v>3961</v>
      </c>
      <c r="AG1710" t="s">
        <v>77</v>
      </c>
    </row>
    <row r="1711" spans="1:33" x14ac:dyDescent="0.25">
      <c r="A1711" t="str">
        <f>"1104034545"</f>
        <v>1104034545</v>
      </c>
      <c r="B1711" t="str">
        <f>"02884733"</f>
        <v>02884733</v>
      </c>
      <c r="C1711" t="s">
        <v>9496</v>
      </c>
      <c r="D1711" t="s">
        <v>1817</v>
      </c>
      <c r="E1711" t="s">
        <v>1818</v>
      </c>
      <c r="G1711" t="s">
        <v>9497</v>
      </c>
      <c r="H1711" t="s">
        <v>1819</v>
      </c>
      <c r="J1711" t="s">
        <v>9498</v>
      </c>
      <c r="L1711" t="s">
        <v>79</v>
      </c>
      <c r="M1711" t="s">
        <v>72</v>
      </c>
      <c r="R1711" t="s">
        <v>1820</v>
      </c>
      <c r="W1711" t="s">
        <v>1820</v>
      </c>
      <c r="X1711" t="s">
        <v>1821</v>
      </c>
      <c r="Y1711" t="s">
        <v>221</v>
      </c>
      <c r="Z1711" t="s">
        <v>73</v>
      </c>
      <c r="AA1711" t="str">
        <f>"14221-3573"</f>
        <v>14221-3573</v>
      </c>
      <c r="AB1711" t="s">
        <v>74</v>
      </c>
      <c r="AC1711" t="s">
        <v>75</v>
      </c>
      <c r="AD1711" t="s">
        <v>72</v>
      </c>
      <c r="AE1711" t="s">
        <v>76</v>
      </c>
      <c r="AF1711" t="s">
        <v>4043</v>
      </c>
      <c r="AG1711" t="s">
        <v>77</v>
      </c>
    </row>
    <row r="1712" spans="1:33" x14ac:dyDescent="0.25">
      <c r="A1712" t="str">
        <f>"1871546572"</f>
        <v>1871546572</v>
      </c>
      <c r="B1712" t="str">
        <f>"01010773"</f>
        <v>01010773</v>
      </c>
      <c r="C1712" t="s">
        <v>9499</v>
      </c>
      <c r="D1712" t="s">
        <v>9500</v>
      </c>
      <c r="E1712" t="s">
        <v>9501</v>
      </c>
      <c r="G1712" t="s">
        <v>3969</v>
      </c>
      <c r="H1712" t="s">
        <v>3970</v>
      </c>
      <c r="J1712" t="s">
        <v>3971</v>
      </c>
      <c r="L1712" t="s">
        <v>79</v>
      </c>
      <c r="M1712" t="s">
        <v>72</v>
      </c>
      <c r="R1712" t="s">
        <v>9502</v>
      </c>
      <c r="W1712" t="s">
        <v>9502</v>
      </c>
      <c r="X1712" t="s">
        <v>234</v>
      </c>
      <c r="Y1712" t="s">
        <v>117</v>
      </c>
      <c r="Z1712" t="s">
        <v>73</v>
      </c>
      <c r="AA1712" t="str">
        <f>"14220-2095"</f>
        <v>14220-2095</v>
      </c>
      <c r="AB1712" t="s">
        <v>74</v>
      </c>
      <c r="AC1712" t="s">
        <v>75</v>
      </c>
      <c r="AD1712" t="s">
        <v>72</v>
      </c>
      <c r="AE1712" t="s">
        <v>76</v>
      </c>
      <c r="AF1712" t="s">
        <v>3974</v>
      </c>
      <c r="AG1712" t="s">
        <v>77</v>
      </c>
    </row>
    <row r="1713" spans="1:33" x14ac:dyDescent="0.25">
      <c r="A1713" t="str">
        <f>"1508028531"</f>
        <v>1508028531</v>
      </c>
      <c r="B1713" t="str">
        <f>"03123219"</f>
        <v>03123219</v>
      </c>
      <c r="C1713" t="s">
        <v>9503</v>
      </c>
      <c r="D1713" t="s">
        <v>9504</v>
      </c>
      <c r="E1713" t="s">
        <v>9505</v>
      </c>
      <c r="G1713" t="s">
        <v>5995</v>
      </c>
      <c r="H1713" t="s">
        <v>5786</v>
      </c>
      <c r="J1713" t="s">
        <v>5996</v>
      </c>
      <c r="L1713" t="s">
        <v>79</v>
      </c>
      <c r="M1713" t="s">
        <v>81</v>
      </c>
      <c r="R1713" t="s">
        <v>9506</v>
      </c>
      <c r="W1713" t="s">
        <v>9505</v>
      </c>
      <c r="X1713" t="s">
        <v>164</v>
      </c>
      <c r="Y1713" t="s">
        <v>117</v>
      </c>
      <c r="Z1713" t="s">
        <v>73</v>
      </c>
      <c r="AA1713" t="str">
        <f>"14220-2039"</f>
        <v>14220-2039</v>
      </c>
      <c r="AB1713" t="s">
        <v>74</v>
      </c>
      <c r="AC1713" t="s">
        <v>75</v>
      </c>
      <c r="AD1713" t="s">
        <v>72</v>
      </c>
      <c r="AE1713" t="s">
        <v>76</v>
      </c>
      <c r="AF1713" t="s">
        <v>3974</v>
      </c>
      <c r="AG1713" t="s">
        <v>77</v>
      </c>
    </row>
    <row r="1714" spans="1:33" x14ac:dyDescent="0.25">
      <c r="A1714" t="str">
        <f>"1376529164"</f>
        <v>1376529164</v>
      </c>
      <c r="B1714" t="str">
        <f>"00776650"</f>
        <v>00776650</v>
      </c>
      <c r="C1714" t="s">
        <v>9507</v>
      </c>
      <c r="D1714" t="s">
        <v>1910</v>
      </c>
      <c r="E1714" t="s">
        <v>1911</v>
      </c>
      <c r="G1714" t="s">
        <v>5624</v>
      </c>
      <c r="H1714" t="s">
        <v>841</v>
      </c>
      <c r="J1714" t="s">
        <v>5625</v>
      </c>
      <c r="L1714" t="s">
        <v>71</v>
      </c>
      <c r="M1714" t="s">
        <v>72</v>
      </c>
      <c r="R1714" t="s">
        <v>1912</v>
      </c>
      <c r="W1714" t="s">
        <v>1911</v>
      </c>
      <c r="X1714" t="s">
        <v>243</v>
      </c>
      <c r="Y1714" t="s">
        <v>117</v>
      </c>
      <c r="Z1714" t="s">
        <v>73</v>
      </c>
      <c r="AA1714" t="str">
        <f>"14203-1126"</f>
        <v>14203-1126</v>
      </c>
      <c r="AB1714" t="s">
        <v>74</v>
      </c>
      <c r="AC1714" t="s">
        <v>75</v>
      </c>
      <c r="AD1714" t="s">
        <v>72</v>
      </c>
      <c r="AE1714" t="s">
        <v>76</v>
      </c>
      <c r="AF1714" t="s">
        <v>3974</v>
      </c>
      <c r="AG1714" t="s">
        <v>77</v>
      </c>
    </row>
    <row r="1715" spans="1:33" x14ac:dyDescent="0.25">
      <c r="A1715" t="str">
        <f>"1912996133"</f>
        <v>1912996133</v>
      </c>
      <c r="B1715" t="str">
        <f>"01956376"</f>
        <v>01956376</v>
      </c>
      <c r="C1715" t="s">
        <v>9508</v>
      </c>
      <c r="D1715" t="s">
        <v>3748</v>
      </c>
      <c r="E1715" t="s">
        <v>3749</v>
      </c>
      <c r="G1715" t="s">
        <v>5472</v>
      </c>
      <c r="H1715" t="s">
        <v>3477</v>
      </c>
      <c r="J1715" t="s">
        <v>5473</v>
      </c>
      <c r="L1715" t="s">
        <v>79</v>
      </c>
      <c r="M1715" t="s">
        <v>72</v>
      </c>
      <c r="R1715" t="s">
        <v>3750</v>
      </c>
      <c r="W1715" t="s">
        <v>3749</v>
      </c>
      <c r="X1715" t="s">
        <v>1111</v>
      </c>
      <c r="Y1715" t="s">
        <v>237</v>
      </c>
      <c r="Z1715" t="s">
        <v>73</v>
      </c>
      <c r="AA1715" t="str">
        <f>"14224-3445"</f>
        <v>14224-3445</v>
      </c>
      <c r="AB1715" t="s">
        <v>74</v>
      </c>
      <c r="AC1715" t="s">
        <v>75</v>
      </c>
      <c r="AD1715" t="s">
        <v>72</v>
      </c>
      <c r="AE1715" t="s">
        <v>76</v>
      </c>
      <c r="AF1715" t="s">
        <v>3974</v>
      </c>
      <c r="AG1715" t="s">
        <v>77</v>
      </c>
    </row>
    <row r="1716" spans="1:33" x14ac:dyDescent="0.25">
      <c r="A1716" t="str">
        <f>"1023081072"</f>
        <v>1023081072</v>
      </c>
      <c r="B1716" t="str">
        <f>"00728047"</f>
        <v>00728047</v>
      </c>
      <c r="C1716" t="s">
        <v>9509</v>
      </c>
      <c r="D1716" t="s">
        <v>9510</v>
      </c>
      <c r="E1716" t="s">
        <v>9511</v>
      </c>
      <c r="G1716" t="s">
        <v>5147</v>
      </c>
      <c r="H1716" t="s">
        <v>4831</v>
      </c>
      <c r="J1716" t="s">
        <v>9512</v>
      </c>
      <c r="L1716" t="s">
        <v>79</v>
      </c>
      <c r="M1716" t="s">
        <v>72</v>
      </c>
      <c r="R1716" t="s">
        <v>9513</v>
      </c>
      <c r="W1716" t="s">
        <v>9511</v>
      </c>
      <c r="Y1716" t="s">
        <v>117</v>
      </c>
      <c r="Z1716" t="s">
        <v>73</v>
      </c>
      <c r="AA1716" t="str">
        <f>"14220-2095"</f>
        <v>14220-2095</v>
      </c>
      <c r="AB1716" t="s">
        <v>74</v>
      </c>
      <c r="AC1716" t="s">
        <v>75</v>
      </c>
      <c r="AD1716" t="s">
        <v>72</v>
      </c>
      <c r="AE1716" t="s">
        <v>76</v>
      </c>
      <c r="AF1716" t="s">
        <v>3974</v>
      </c>
      <c r="AG1716" t="s">
        <v>77</v>
      </c>
    </row>
    <row r="1717" spans="1:33" x14ac:dyDescent="0.25">
      <c r="A1717" t="str">
        <f>"1770523342"</f>
        <v>1770523342</v>
      </c>
      <c r="B1717" t="str">
        <f>"00889592"</f>
        <v>00889592</v>
      </c>
      <c r="C1717" t="s">
        <v>9514</v>
      </c>
      <c r="D1717" t="s">
        <v>3332</v>
      </c>
      <c r="E1717" t="s">
        <v>3333</v>
      </c>
      <c r="G1717" t="s">
        <v>7815</v>
      </c>
      <c r="H1717" t="s">
        <v>1796</v>
      </c>
      <c r="J1717" t="s">
        <v>7816</v>
      </c>
      <c r="L1717" t="s">
        <v>84</v>
      </c>
      <c r="M1717" t="s">
        <v>72</v>
      </c>
      <c r="R1717" t="s">
        <v>3334</v>
      </c>
      <c r="W1717" t="s">
        <v>3333</v>
      </c>
      <c r="X1717" t="s">
        <v>1797</v>
      </c>
      <c r="Y1717" t="s">
        <v>117</v>
      </c>
      <c r="Z1717" t="s">
        <v>73</v>
      </c>
      <c r="AA1717" t="str">
        <f>"14225-1080"</f>
        <v>14225-1080</v>
      </c>
      <c r="AB1717" t="s">
        <v>74</v>
      </c>
      <c r="AC1717" t="s">
        <v>75</v>
      </c>
      <c r="AD1717" t="s">
        <v>72</v>
      </c>
      <c r="AE1717" t="s">
        <v>76</v>
      </c>
      <c r="AF1717" t="s">
        <v>3961</v>
      </c>
      <c r="AG1717" t="s">
        <v>77</v>
      </c>
    </row>
    <row r="1718" spans="1:33" x14ac:dyDescent="0.25">
      <c r="A1718" t="str">
        <f>"1922038785"</f>
        <v>1922038785</v>
      </c>
      <c r="B1718" t="str">
        <f>"02246591"</f>
        <v>02246591</v>
      </c>
      <c r="C1718" t="s">
        <v>9515</v>
      </c>
      <c r="D1718" t="s">
        <v>9516</v>
      </c>
      <c r="E1718" t="s">
        <v>9517</v>
      </c>
      <c r="G1718" t="s">
        <v>9515</v>
      </c>
      <c r="H1718" t="s">
        <v>6798</v>
      </c>
      <c r="J1718" t="s">
        <v>9518</v>
      </c>
      <c r="L1718" t="s">
        <v>79</v>
      </c>
      <c r="M1718" t="s">
        <v>72</v>
      </c>
      <c r="R1718" t="s">
        <v>9519</v>
      </c>
      <c r="W1718" t="s">
        <v>9520</v>
      </c>
      <c r="X1718" t="s">
        <v>9521</v>
      </c>
      <c r="Y1718" t="s">
        <v>240</v>
      </c>
      <c r="Z1718" t="s">
        <v>73</v>
      </c>
      <c r="AA1718" t="str">
        <f>"14094"</f>
        <v>14094</v>
      </c>
      <c r="AB1718" t="s">
        <v>74</v>
      </c>
      <c r="AC1718" t="s">
        <v>75</v>
      </c>
      <c r="AD1718" t="s">
        <v>72</v>
      </c>
      <c r="AE1718" t="s">
        <v>76</v>
      </c>
      <c r="AF1718" t="s">
        <v>3974</v>
      </c>
      <c r="AG1718" t="s">
        <v>77</v>
      </c>
    </row>
    <row r="1719" spans="1:33" x14ac:dyDescent="0.25">
      <c r="A1719" t="str">
        <f>"1588667893"</f>
        <v>1588667893</v>
      </c>
      <c r="B1719" t="str">
        <f>"01092020"</f>
        <v>01092020</v>
      </c>
      <c r="C1719" t="s">
        <v>9522</v>
      </c>
      <c r="D1719" t="s">
        <v>1510</v>
      </c>
      <c r="E1719" t="s">
        <v>1511</v>
      </c>
      <c r="G1719" t="s">
        <v>9523</v>
      </c>
      <c r="H1719" t="s">
        <v>1513</v>
      </c>
      <c r="J1719" t="s">
        <v>9524</v>
      </c>
      <c r="L1719" t="s">
        <v>80</v>
      </c>
      <c r="M1719" t="s">
        <v>72</v>
      </c>
      <c r="R1719" t="s">
        <v>1512</v>
      </c>
      <c r="W1719" t="s">
        <v>1511</v>
      </c>
      <c r="X1719" t="s">
        <v>1514</v>
      </c>
      <c r="Y1719" t="s">
        <v>1351</v>
      </c>
      <c r="Z1719" t="s">
        <v>73</v>
      </c>
      <c r="AA1719" t="str">
        <f>"14111"</f>
        <v>14111</v>
      </c>
      <c r="AB1719" t="s">
        <v>74</v>
      </c>
      <c r="AC1719" t="s">
        <v>75</v>
      </c>
      <c r="AD1719" t="s">
        <v>72</v>
      </c>
      <c r="AE1719" t="s">
        <v>76</v>
      </c>
      <c r="AF1719" t="s">
        <v>3961</v>
      </c>
      <c r="AG1719" t="s">
        <v>77</v>
      </c>
    </row>
    <row r="1720" spans="1:33" x14ac:dyDescent="0.25">
      <c r="A1720" t="str">
        <f>"1871573378"</f>
        <v>1871573378</v>
      </c>
      <c r="B1720" t="str">
        <f>"00711064"</f>
        <v>00711064</v>
      </c>
      <c r="C1720" t="s">
        <v>9525</v>
      </c>
      <c r="D1720" t="s">
        <v>498</v>
      </c>
      <c r="E1720" t="s">
        <v>499</v>
      </c>
      <c r="G1720" t="s">
        <v>9526</v>
      </c>
      <c r="H1720" t="s">
        <v>329</v>
      </c>
      <c r="J1720" t="s">
        <v>9527</v>
      </c>
      <c r="L1720" t="s">
        <v>80</v>
      </c>
      <c r="M1720" t="s">
        <v>72</v>
      </c>
      <c r="R1720" t="s">
        <v>500</v>
      </c>
      <c r="W1720" t="s">
        <v>501</v>
      </c>
      <c r="X1720" t="s">
        <v>502</v>
      </c>
      <c r="Y1720" t="s">
        <v>503</v>
      </c>
      <c r="Z1720" t="s">
        <v>73</v>
      </c>
      <c r="AA1720" t="str">
        <f>"14009-1113"</f>
        <v>14009-1113</v>
      </c>
      <c r="AB1720" t="s">
        <v>74</v>
      </c>
      <c r="AC1720" t="s">
        <v>75</v>
      </c>
      <c r="AD1720" t="s">
        <v>72</v>
      </c>
      <c r="AE1720" t="s">
        <v>76</v>
      </c>
      <c r="AF1720" t="s">
        <v>3961</v>
      </c>
      <c r="AG1720" t="s">
        <v>77</v>
      </c>
    </row>
    <row r="1721" spans="1:33" x14ac:dyDescent="0.25">
      <c r="A1721" t="str">
        <f>"1366448367"</f>
        <v>1366448367</v>
      </c>
      <c r="B1721" t="str">
        <f>"00964021"</f>
        <v>00964021</v>
      </c>
      <c r="C1721" t="s">
        <v>9528</v>
      </c>
      <c r="D1721" t="s">
        <v>2304</v>
      </c>
      <c r="E1721" t="s">
        <v>2305</v>
      </c>
      <c r="G1721" t="s">
        <v>5010</v>
      </c>
      <c r="H1721" t="s">
        <v>1119</v>
      </c>
      <c r="J1721" t="s">
        <v>5011</v>
      </c>
      <c r="L1721" t="s">
        <v>79</v>
      </c>
      <c r="M1721" t="s">
        <v>72</v>
      </c>
      <c r="R1721" t="s">
        <v>2306</v>
      </c>
      <c r="W1721" t="s">
        <v>2305</v>
      </c>
      <c r="X1721" t="s">
        <v>169</v>
      </c>
      <c r="Y1721" t="s">
        <v>117</v>
      </c>
      <c r="Z1721" t="s">
        <v>73</v>
      </c>
      <c r="AA1721" t="str">
        <f>"14209-1120"</f>
        <v>14209-1120</v>
      </c>
      <c r="AB1721" t="s">
        <v>74</v>
      </c>
      <c r="AC1721" t="s">
        <v>75</v>
      </c>
      <c r="AD1721" t="s">
        <v>72</v>
      </c>
      <c r="AE1721" t="s">
        <v>76</v>
      </c>
      <c r="AF1721" t="s">
        <v>3974</v>
      </c>
      <c r="AG1721" t="s">
        <v>77</v>
      </c>
    </row>
    <row r="1722" spans="1:33" x14ac:dyDescent="0.25">
      <c r="A1722" t="str">
        <f>"1578534368"</f>
        <v>1578534368</v>
      </c>
      <c r="B1722" t="str">
        <f>"00711133"</f>
        <v>00711133</v>
      </c>
      <c r="C1722" t="s">
        <v>9529</v>
      </c>
      <c r="D1722" t="s">
        <v>9530</v>
      </c>
      <c r="E1722" t="s">
        <v>9531</v>
      </c>
      <c r="G1722" t="s">
        <v>9529</v>
      </c>
      <c r="H1722" t="s">
        <v>9532</v>
      </c>
      <c r="J1722" t="s">
        <v>9533</v>
      </c>
      <c r="L1722" t="s">
        <v>79</v>
      </c>
      <c r="M1722" t="s">
        <v>81</v>
      </c>
      <c r="R1722" t="s">
        <v>9534</v>
      </c>
      <c r="W1722" t="s">
        <v>9535</v>
      </c>
      <c r="X1722" t="s">
        <v>9536</v>
      </c>
      <c r="Y1722" t="s">
        <v>237</v>
      </c>
      <c r="Z1722" t="s">
        <v>73</v>
      </c>
      <c r="AA1722" t="str">
        <f>"14224-1324"</f>
        <v>14224-1324</v>
      </c>
      <c r="AB1722" t="s">
        <v>74</v>
      </c>
      <c r="AC1722" t="s">
        <v>75</v>
      </c>
      <c r="AD1722" t="s">
        <v>72</v>
      </c>
      <c r="AE1722" t="s">
        <v>76</v>
      </c>
      <c r="AF1722" t="s">
        <v>3961</v>
      </c>
      <c r="AG1722" t="s">
        <v>77</v>
      </c>
    </row>
    <row r="1723" spans="1:33" x14ac:dyDescent="0.25">
      <c r="A1723" t="str">
        <f>"1730238288"</f>
        <v>1730238288</v>
      </c>
      <c r="B1723" t="str">
        <f>"03506489"</f>
        <v>03506489</v>
      </c>
      <c r="C1723" t="s">
        <v>9537</v>
      </c>
      <c r="D1723" t="s">
        <v>9538</v>
      </c>
      <c r="E1723" t="s">
        <v>9539</v>
      </c>
      <c r="G1723" t="s">
        <v>6081</v>
      </c>
      <c r="H1723" t="s">
        <v>6769</v>
      </c>
      <c r="J1723" t="s">
        <v>6770</v>
      </c>
      <c r="L1723" t="s">
        <v>79</v>
      </c>
      <c r="M1723" t="s">
        <v>72</v>
      </c>
      <c r="R1723" t="s">
        <v>9540</v>
      </c>
      <c r="W1723" t="s">
        <v>9539</v>
      </c>
      <c r="X1723" t="s">
        <v>9541</v>
      </c>
      <c r="Y1723" t="s">
        <v>247</v>
      </c>
      <c r="Z1723" t="s">
        <v>73</v>
      </c>
      <c r="AA1723" t="str">
        <f>"14225-0000"</f>
        <v>14225-0000</v>
      </c>
      <c r="AB1723" t="s">
        <v>74</v>
      </c>
      <c r="AC1723" t="s">
        <v>75</v>
      </c>
      <c r="AD1723" t="s">
        <v>72</v>
      </c>
      <c r="AE1723" t="s">
        <v>76</v>
      </c>
      <c r="AF1723" t="s">
        <v>3974</v>
      </c>
      <c r="AG1723" t="s">
        <v>77</v>
      </c>
    </row>
    <row r="1724" spans="1:33" x14ac:dyDescent="0.25">
      <c r="A1724" t="str">
        <f>"1598879801"</f>
        <v>1598879801</v>
      </c>
      <c r="B1724" t="str">
        <f>"02775253"</f>
        <v>02775253</v>
      </c>
      <c r="C1724" t="s">
        <v>9542</v>
      </c>
      <c r="D1724" t="s">
        <v>9543</v>
      </c>
      <c r="E1724" t="s">
        <v>9544</v>
      </c>
      <c r="G1724" t="s">
        <v>9542</v>
      </c>
      <c r="H1724" t="s">
        <v>4732</v>
      </c>
      <c r="J1724" t="s">
        <v>9545</v>
      </c>
      <c r="L1724" t="s">
        <v>79</v>
      </c>
      <c r="M1724" t="s">
        <v>72</v>
      </c>
      <c r="R1724" t="s">
        <v>9546</v>
      </c>
      <c r="W1724" t="s">
        <v>9544</v>
      </c>
      <c r="X1724" t="s">
        <v>234</v>
      </c>
      <c r="Y1724" t="s">
        <v>117</v>
      </c>
      <c r="Z1724" t="s">
        <v>73</v>
      </c>
      <c r="AA1724" t="str">
        <f>"14220-2039"</f>
        <v>14220-2039</v>
      </c>
      <c r="AB1724" t="s">
        <v>74</v>
      </c>
      <c r="AC1724" t="s">
        <v>75</v>
      </c>
      <c r="AD1724" t="s">
        <v>72</v>
      </c>
      <c r="AE1724" t="s">
        <v>76</v>
      </c>
      <c r="AF1724" t="s">
        <v>3974</v>
      </c>
      <c r="AG1724" t="s">
        <v>77</v>
      </c>
    </row>
    <row r="1725" spans="1:33" x14ac:dyDescent="0.25">
      <c r="A1725" t="str">
        <f>"1831146125"</f>
        <v>1831146125</v>
      </c>
      <c r="B1725" t="str">
        <f>"03071450"</f>
        <v>03071450</v>
      </c>
      <c r="C1725" t="s">
        <v>9547</v>
      </c>
      <c r="D1725" t="s">
        <v>9548</v>
      </c>
      <c r="E1725" t="s">
        <v>9549</v>
      </c>
      <c r="G1725" t="s">
        <v>9550</v>
      </c>
      <c r="H1725" t="s">
        <v>9551</v>
      </c>
      <c r="J1725" t="s">
        <v>9552</v>
      </c>
      <c r="L1725" t="s">
        <v>79</v>
      </c>
      <c r="M1725" t="s">
        <v>72</v>
      </c>
      <c r="R1725" t="s">
        <v>9553</v>
      </c>
      <c r="W1725" t="s">
        <v>9553</v>
      </c>
      <c r="X1725" t="s">
        <v>9554</v>
      </c>
      <c r="Y1725" t="s">
        <v>221</v>
      </c>
      <c r="Z1725" t="s">
        <v>73</v>
      </c>
      <c r="AA1725" t="str">
        <f>"14221-5367"</f>
        <v>14221-5367</v>
      </c>
      <c r="AB1725" t="s">
        <v>74</v>
      </c>
      <c r="AC1725" t="s">
        <v>75</v>
      </c>
      <c r="AD1725" t="s">
        <v>72</v>
      </c>
      <c r="AE1725" t="s">
        <v>76</v>
      </c>
      <c r="AF1725" t="s">
        <v>3974</v>
      </c>
      <c r="AG1725" t="s">
        <v>77</v>
      </c>
    </row>
    <row r="1726" spans="1:33" x14ac:dyDescent="0.25">
      <c r="A1726" t="str">
        <f>"1639192156"</f>
        <v>1639192156</v>
      </c>
      <c r="B1726" t="str">
        <f>"01009030"</f>
        <v>01009030</v>
      </c>
      <c r="C1726" t="s">
        <v>9555</v>
      </c>
      <c r="D1726" t="s">
        <v>2774</v>
      </c>
      <c r="E1726" t="s">
        <v>2775</v>
      </c>
      <c r="G1726" t="s">
        <v>5441</v>
      </c>
      <c r="H1726" t="s">
        <v>2776</v>
      </c>
      <c r="J1726" t="s">
        <v>5442</v>
      </c>
      <c r="L1726" t="s">
        <v>79</v>
      </c>
      <c r="M1726" t="s">
        <v>72</v>
      </c>
      <c r="R1726" t="s">
        <v>2777</v>
      </c>
      <c r="W1726" t="s">
        <v>2775</v>
      </c>
      <c r="X1726" t="s">
        <v>2698</v>
      </c>
      <c r="Y1726" t="s">
        <v>117</v>
      </c>
      <c r="Z1726" t="s">
        <v>73</v>
      </c>
      <c r="AA1726" t="str">
        <f>"14214-2693"</f>
        <v>14214-2693</v>
      </c>
      <c r="AB1726" t="s">
        <v>113</v>
      </c>
      <c r="AC1726" t="s">
        <v>75</v>
      </c>
      <c r="AD1726" t="s">
        <v>72</v>
      </c>
      <c r="AE1726" t="s">
        <v>76</v>
      </c>
      <c r="AF1726" t="s">
        <v>3974</v>
      </c>
      <c r="AG1726" t="s">
        <v>77</v>
      </c>
    </row>
    <row r="1727" spans="1:33" x14ac:dyDescent="0.25">
      <c r="A1727" t="str">
        <f>"1003018102"</f>
        <v>1003018102</v>
      </c>
      <c r="B1727" t="str">
        <f>"03091187"</f>
        <v>03091187</v>
      </c>
      <c r="C1727" t="s">
        <v>9556</v>
      </c>
      <c r="D1727" t="s">
        <v>9557</v>
      </c>
      <c r="E1727" t="s">
        <v>9558</v>
      </c>
      <c r="G1727" t="s">
        <v>6679</v>
      </c>
      <c r="H1727" t="s">
        <v>1311</v>
      </c>
      <c r="J1727" t="s">
        <v>6680</v>
      </c>
      <c r="L1727" t="s">
        <v>79</v>
      </c>
      <c r="M1727" t="s">
        <v>72</v>
      </c>
      <c r="R1727" t="s">
        <v>9559</v>
      </c>
      <c r="W1727" t="s">
        <v>9558</v>
      </c>
      <c r="X1727" t="s">
        <v>1313</v>
      </c>
      <c r="Y1727" t="s">
        <v>221</v>
      </c>
      <c r="Z1727" t="s">
        <v>73</v>
      </c>
      <c r="AA1727" t="str">
        <f>"14221-4641"</f>
        <v>14221-4641</v>
      </c>
      <c r="AB1727" t="s">
        <v>74</v>
      </c>
      <c r="AC1727" t="s">
        <v>75</v>
      </c>
      <c r="AD1727" t="s">
        <v>72</v>
      </c>
      <c r="AE1727" t="s">
        <v>76</v>
      </c>
      <c r="AF1727" t="s">
        <v>3974</v>
      </c>
      <c r="AG1727" t="s">
        <v>77</v>
      </c>
    </row>
    <row r="1728" spans="1:33" x14ac:dyDescent="0.25">
      <c r="A1728" t="str">
        <f>"1831193580"</f>
        <v>1831193580</v>
      </c>
      <c r="B1728" t="str">
        <f>"02555228"</f>
        <v>02555228</v>
      </c>
      <c r="C1728" t="s">
        <v>9560</v>
      </c>
      <c r="D1728" t="s">
        <v>966</v>
      </c>
      <c r="E1728" t="s">
        <v>967</v>
      </c>
      <c r="G1728" t="s">
        <v>4772</v>
      </c>
      <c r="H1728" t="s">
        <v>801</v>
      </c>
      <c r="J1728" t="s">
        <v>4773</v>
      </c>
      <c r="L1728" t="s">
        <v>79</v>
      </c>
      <c r="M1728" t="s">
        <v>72</v>
      </c>
      <c r="R1728" t="s">
        <v>968</v>
      </c>
      <c r="W1728" t="s">
        <v>969</v>
      </c>
      <c r="X1728" t="s">
        <v>970</v>
      </c>
      <c r="Y1728" t="s">
        <v>326</v>
      </c>
      <c r="Z1728" t="s">
        <v>73</v>
      </c>
      <c r="AA1728" t="str">
        <f>"14127-1500"</f>
        <v>14127-1500</v>
      </c>
      <c r="AB1728" t="s">
        <v>74</v>
      </c>
      <c r="AC1728" t="s">
        <v>75</v>
      </c>
      <c r="AD1728" t="s">
        <v>72</v>
      </c>
      <c r="AE1728" t="s">
        <v>76</v>
      </c>
      <c r="AF1728" t="s">
        <v>3974</v>
      </c>
      <c r="AG1728" t="s">
        <v>77</v>
      </c>
    </row>
    <row r="1729" spans="1:33" x14ac:dyDescent="0.25">
      <c r="A1729" t="str">
        <f>"1144428103"</f>
        <v>1144428103</v>
      </c>
      <c r="B1729" t="str">
        <f>"03643309"</f>
        <v>03643309</v>
      </c>
      <c r="C1729" t="s">
        <v>9561</v>
      </c>
      <c r="D1729" t="s">
        <v>9562</v>
      </c>
      <c r="E1729" t="s">
        <v>9563</v>
      </c>
      <c r="G1729" t="s">
        <v>5297</v>
      </c>
      <c r="H1729" t="s">
        <v>2793</v>
      </c>
      <c r="J1729" t="s">
        <v>5298</v>
      </c>
      <c r="L1729" t="s">
        <v>79</v>
      </c>
      <c r="M1729" t="s">
        <v>72</v>
      </c>
      <c r="R1729" t="s">
        <v>9564</v>
      </c>
      <c r="W1729" t="s">
        <v>9563</v>
      </c>
      <c r="X1729" t="s">
        <v>5300</v>
      </c>
      <c r="Y1729" t="s">
        <v>117</v>
      </c>
      <c r="Z1729" t="s">
        <v>73</v>
      </c>
      <c r="AA1729" t="str">
        <f>"14214-2673"</f>
        <v>14214-2673</v>
      </c>
      <c r="AB1729" t="s">
        <v>74</v>
      </c>
      <c r="AC1729" t="s">
        <v>75</v>
      </c>
      <c r="AD1729" t="s">
        <v>72</v>
      </c>
      <c r="AE1729" t="s">
        <v>76</v>
      </c>
      <c r="AF1729" t="s">
        <v>3974</v>
      </c>
      <c r="AG1729" t="s">
        <v>77</v>
      </c>
    </row>
    <row r="1730" spans="1:33" x14ac:dyDescent="0.25">
      <c r="A1730" t="str">
        <f>"1497758064"</f>
        <v>1497758064</v>
      </c>
      <c r="B1730" t="str">
        <f>"00797737"</f>
        <v>00797737</v>
      </c>
      <c r="C1730" t="s">
        <v>9565</v>
      </c>
      <c r="D1730" t="s">
        <v>1521</v>
      </c>
      <c r="E1730" t="s">
        <v>1522</v>
      </c>
      <c r="G1730" t="s">
        <v>9219</v>
      </c>
      <c r="H1730" t="s">
        <v>1523</v>
      </c>
      <c r="J1730" t="s">
        <v>9220</v>
      </c>
      <c r="L1730" t="s">
        <v>79</v>
      </c>
      <c r="M1730" t="s">
        <v>72</v>
      </c>
      <c r="R1730" t="s">
        <v>1524</v>
      </c>
      <c r="W1730" t="s">
        <v>1525</v>
      </c>
      <c r="X1730" t="s">
        <v>1194</v>
      </c>
      <c r="Y1730" t="s">
        <v>237</v>
      </c>
      <c r="Z1730" t="s">
        <v>73</v>
      </c>
      <c r="AA1730" t="str">
        <f>"14224-2646"</f>
        <v>14224-2646</v>
      </c>
      <c r="AB1730" t="s">
        <v>74</v>
      </c>
      <c r="AC1730" t="s">
        <v>75</v>
      </c>
      <c r="AD1730" t="s">
        <v>72</v>
      </c>
      <c r="AE1730" t="s">
        <v>76</v>
      </c>
      <c r="AF1730" t="s">
        <v>3974</v>
      </c>
      <c r="AG1730" t="s">
        <v>77</v>
      </c>
    </row>
    <row r="1731" spans="1:33" x14ac:dyDescent="0.25">
      <c r="A1731" t="str">
        <f>"1215255781"</f>
        <v>1215255781</v>
      </c>
      <c r="B1731" t="str">
        <f>"03776670"</f>
        <v>03776670</v>
      </c>
      <c r="C1731" t="s">
        <v>9566</v>
      </c>
      <c r="D1731" t="s">
        <v>9567</v>
      </c>
      <c r="E1731" t="s">
        <v>9568</v>
      </c>
      <c r="G1731" t="s">
        <v>6164</v>
      </c>
      <c r="H1731" t="s">
        <v>6165</v>
      </c>
      <c r="J1731" t="s">
        <v>6166</v>
      </c>
      <c r="L1731" t="s">
        <v>71</v>
      </c>
      <c r="M1731" t="s">
        <v>72</v>
      </c>
      <c r="R1731" t="s">
        <v>9569</v>
      </c>
      <c r="W1731" t="s">
        <v>9568</v>
      </c>
      <c r="X1731" t="s">
        <v>234</v>
      </c>
      <c r="Y1731" t="s">
        <v>117</v>
      </c>
      <c r="Z1731" t="s">
        <v>73</v>
      </c>
      <c r="AA1731" t="str">
        <f>"14220-2039"</f>
        <v>14220-2039</v>
      </c>
      <c r="AB1731" t="s">
        <v>74</v>
      </c>
      <c r="AC1731" t="s">
        <v>75</v>
      </c>
      <c r="AD1731" t="s">
        <v>72</v>
      </c>
      <c r="AE1731" t="s">
        <v>76</v>
      </c>
      <c r="AF1731" t="s">
        <v>3974</v>
      </c>
      <c r="AG1731" t="s">
        <v>77</v>
      </c>
    </row>
    <row r="1732" spans="1:33" x14ac:dyDescent="0.25">
      <c r="A1732" t="str">
        <f>"1407844145"</f>
        <v>1407844145</v>
      </c>
      <c r="B1732" t="str">
        <f>"01132874"</f>
        <v>01132874</v>
      </c>
      <c r="C1732" t="s">
        <v>9570</v>
      </c>
      <c r="D1732" t="s">
        <v>9571</v>
      </c>
      <c r="E1732" t="s">
        <v>9572</v>
      </c>
      <c r="G1732" t="s">
        <v>4739</v>
      </c>
      <c r="H1732" t="s">
        <v>2761</v>
      </c>
      <c r="J1732" t="s">
        <v>4740</v>
      </c>
      <c r="L1732" t="s">
        <v>80</v>
      </c>
      <c r="M1732" t="s">
        <v>72</v>
      </c>
      <c r="R1732" t="s">
        <v>9573</v>
      </c>
      <c r="W1732" t="s">
        <v>9574</v>
      </c>
      <c r="X1732" t="s">
        <v>248</v>
      </c>
      <c r="Y1732" t="s">
        <v>237</v>
      </c>
      <c r="Z1732" t="s">
        <v>73</v>
      </c>
      <c r="AA1732" t="str">
        <f>"14224-1324"</f>
        <v>14224-1324</v>
      </c>
      <c r="AB1732" t="s">
        <v>74</v>
      </c>
      <c r="AC1732" t="s">
        <v>75</v>
      </c>
      <c r="AD1732" t="s">
        <v>72</v>
      </c>
      <c r="AE1732" t="s">
        <v>76</v>
      </c>
      <c r="AF1732" t="s">
        <v>3961</v>
      </c>
      <c r="AG1732" t="s">
        <v>77</v>
      </c>
    </row>
    <row r="1733" spans="1:33" x14ac:dyDescent="0.25">
      <c r="A1733" t="str">
        <f>"1235121732"</f>
        <v>1235121732</v>
      </c>
      <c r="B1733" t="str">
        <f>"01031814"</f>
        <v>01031814</v>
      </c>
      <c r="C1733" t="s">
        <v>9575</v>
      </c>
      <c r="D1733" t="s">
        <v>9576</v>
      </c>
      <c r="E1733" t="s">
        <v>9577</v>
      </c>
      <c r="G1733" t="s">
        <v>7348</v>
      </c>
      <c r="H1733" t="s">
        <v>7349</v>
      </c>
      <c r="J1733" t="s">
        <v>7350</v>
      </c>
      <c r="L1733" t="s">
        <v>71</v>
      </c>
      <c r="M1733" t="s">
        <v>72</v>
      </c>
      <c r="R1733" t="s">
        <v>9578</v>
      </c>
      <c r="W1733" t="s">
        <v>9579</v>
      </c>
      <c r="Y1733" t="s">
        <v>117</v>
      </c>
      <c r="Z1733" t="s">
        <v>73</v>
      </c>
      <c r="AA1733" t="str">
        <f>"14203-1126"</f>
        <v>14203-1126</v>
      </c>
      <c r="AB1733" t="s">
        <v>74</v>
      </c>
      <c r="AC1733" t="s">
        <v>75</v>
      </c>
      <c r="AD1733" t="s">
        <v>72</v>
      </c>
      <c r="AE1733" t="s">
        <v>76</v>
      </c>
      <c r="AF1733" t="s">
        <v>3974</v>
      </c>
      <c r="AG1733" t="s">
        <v>77</v>
      </c>
    </row>
    <row r="1734" spans="1:33" x14ac:dyDescent="0.25">
      <c r="A1734" t="str">
        <f>"1285699744"</f>
        <v>1285699744</v>
      </c>
      <c r="B1734" t="str">
        <f>"00982283"</f>
        <v>00982283</v>
      </c>
      <c r="C1734" t="s">
        <v>9580</v>
      </c>
      <c r="D1734" t="s">
        <v>2481</v>
      </c>
      <c r="E1734" t="s">
        <v>2482</v>
      </c>
      <c r="G1734" t="s">
        <v>9581</v>
      </c>
      <c r="H1734" t="s">
        <v>2483</v>
      </c>
      <c r="J1734" t="s">
        <v>9582</v>
      </c>
      <c r="L1734" t="s">
        <v>79</v>
      </c>
      <c r="M1734" t="s">
        <v>72</v>
      </c>
      <c r="R1734" t="s">
        <v>2484</v>
      </c>
      <c r="W1734" t="s">
        <v>2482</v>
      </c>
      <c r="X1734" t="s">
        <v>2485</v>
      </c>
      <c r="Y1734" t="s">
        <v>804</v>
      </c>
      <c r="Z1734" t="s">
        <v>73</v>
      </c>
      <c r="AA1734" t="str">
        <f>"14226-4548"</f>
        <v>14226-4548</v>
      </c>
      <c r="AB1734" t="s">
        <v>74</v>
      </c>
      <c r="AC1734" t="s">
        <v>75</v>
      </c>
      <c r="AD1734" t="s">
        <v>72</v>
      </c>
      <c r="AE1734" t="s">
        <v>76</v>
      </c>
      <c r="AF1734" t="s">
        <v>4043</v>
      </c>
      <c r="AG1734" t="s">
        <v>77</v>
      </c>
    </row>
    <row r="1735" spans="1:33" x14ac:dyDescent="0.25">
      <c r="A1735" t="str">
        <f>"1639134885"</f>
        <v>1639134885</v>
      </c>
      <c r="B1735" t="str">
        <f>"02174050"</f>
        <v>02174050</v>
      </c>
      <c r="C1735" t="s">
        <v>9583</v>
      </c>
      <c r="D1735" t="s">
        <v>2413</v>
      </c>
      <c r="E1735" t="s">
        <v>2414</v>
      </c>
      <c r="G1735" t="s">
        <v>9583</v>
      </c>
      <c r="H1735" t="s">
        <v>1063</v>
      </c>
      <c r="L1735" t="s">
        <v>80</v>
      </c>
      <c r="M1735" t="s">
        <v>72</v>
      </c>
      <c r="R1735" t="s">
        <v>2415</v>
      </c>
      <c r="W1735" t="s">
        <v>2414</v>
      </c>
      <c r="X1735" t="s">
        <v>1151</v>
      </c>
      <c r="Y1735" t="s">
        <v>221</v>
      </c>
      <c r="Z1735" t="s">
        <v>73</v>
      </c>
      <c r="AA1735" t="str">
        <f>"14221-8096"</f>
        <v>14221-8096</v>
      </c>
      <c r="AB1735" t="s">
        <v>74</v>
      </c>
      <c r="AC1735" t="s">
        <v>75</v>
      </c>
      <c r="AD1735" t="s">
        <v>72</v>
      </c>
      <c r="AE1735" t="s">
        <v>76</v>
      </c>
      <c r="AF1735" t="s">
        <v>4431</v>
      </c>
      <c r="AG1735" t="s">
        <v>77</v>
      </c>
    </row>
    <row r="1736" spans="1:33" x14ac:dyDescent="0.25">
      <c r="A1736" t="str">
        <f>"1295755395"</f>
        <v>1295755395</v>
      </c>
      <c r="B1736" t="str">
        <f>"00638266"</f>
        <v>00638266</v>
      </c>
      <c r="C1736" t="s">
        <v>9584</v>
      </c>
      <c r="D1736" t="s">
        <v>2339</v>
      </c>
      <c r="E1736" t="s">
        <v>2340</v>
      </c>
      <c r="G1736" t="s">
        <v>9584</v>
      </c>
      <c r="H1736" t="s">
        <v>9585</v>
      </c>
      <c r="J1736" t="s">
        <v>9586</v>
      </c>
      <c r="L1736" t="s">
        <v>79</v>
      </c>
      <c r="M1736" t="s">
        <v>72</v>
      </c>
      <c r="R1736" t="s">
        <v>2341</v>
      </c>
      <c r="W1736" t="s">
        <v>2340</v>
      </c>
      <c r="X1736" t="s">
        <v>2342</v>
      </c>
      <c r="Y1736" t="s">
        <v>117</v>
      </c>
      <c r="Z1736" t="s">
        <v>73</v>
      </c>
      <c r="AA1736" t="str">
        <f>"14203-1126"</f>
        <v>14203-1126</v>
      </c>
      <c r="AB1736" t="s">
        <v>74</v>
      </c>
      <c r="AC1736" t="s">
        <v>75</v>
      </c>
      <c r="AD1736" t="s">
        <v>72</v>
      </c>
      <c r="AE1736" t="s">
        <v>76</v>
      </c>
      <c r="AG1736" t="s">
        <v>77</v>
      </c>
    </row>
    <row r="1737" spans="1:33" x14ac:dyDescent="0.25">
      <c r="A1737" t="str">
        <f>"1992073571"</f>
        <v>1992073571</v>
      </c>
      <c r="B1737" t="str">
        <f>"03639407"</f>
        <v>03639407</v>
      </c>
      <c r="C1737" t="s">
        <v>9587</v>
      </c>
      <c r="D1737" t="s">
        <v>9588</v>
      </c>
      <c r="E1737" t="s">
        <v>5469</v>
      </c>
      <c r="G1737" t="s">
        <v>4768</v>
      </c>
      <c r="H1737" t="s">
        <v>4769</v>
      </c>
      <c r="J1737" t="s">
        <v>4770</v>
      </c>
      <c r="L1737" t="s">
        <v>35</v>
      </c>
      <c r="M1737" t="s">
        <v>72</v>
      </c>
      <c r="R1737" t="s">
        <v>9589</v>
      </c>
      <c r="W1737" t="s">
        <v>5469</v>
      </c>
      <c r="X1737" t="s">
        <v>234</v>
      </c>
      <c r="Y1737" t="s">
        <v>117</v>
      </c>
      <c r="Z1737" t="s">
        <v>73</v>
      </c>
      <c r="AA1737" t="str">
        <f>"14220-2039"</f>
        <v>14220-2039</v>
      </c>
      <c r="AB1737" t="s">
        <v>112</v>
      </c>
      <c r="AC1737" t="s">
        <v>75</v>
      </c>
      <c r="AD1737" t="s">
        <v>72</v>
      </c>
      <c r="AE1737" t="s">
        <v>76</v>
      </c>
      <c r="AF1737" t="s">
        <v>3986</v>
      </c>
      <c r="AG1737" t="s">
        <v>77</v>
      </c>
    </row>
    <row r="1738" spans="1:33" x14ac:dyDescent="0.25">
      <c r="A1738" t="str">
        <f>"1952338873"</f>
        <v>1952338873</v>
      </c>
      <c r="B1738" t="str">
        <f>"01744747"</f>
        <v>01744747</v>
      </c>
      <c r="C1738" t="s">
        <v>9590</v>
      </c>
      <c r="D1738" t="s">
        <v>9591</v>
      </c>
      <c r="E1738" t="s">
        <v>9592</v>
      </c>
      <c r="G1738" t="s">
        <v>5380</v>
      </c>
      <c r="H1738" t="s">
        <v>2898</v>
      </c>
      <c r="J1738" t="s">
        <v>5381</v>
      </c>
      <c r="L1738" t="s">
        <v>79</v>
      </c>
      <c r="M1738" t="s">
        <v>72</v>
      </c>
      <c r="R1738" t="s">
        <v>9593</v>
      </c>
      <c r="W1738" t="s">
        <v>9592</v>
      </c>
      <c r="AB1738" t="s">
        <v>74</v>
      </c>
      <c r="AC1738" t="s">
        <v>75</v>
      </c>
      <c r="AD1738" t="s">
        <v>72</v>
      </c>
      <c r="AE1738" t="s">
        <v>76</v>
      </c>
      <c r="AF1738" t="s">
        <v>3974</v>
      </c>
      <c r="AG1738" t="s">
        <v>77</v>
      </c>
    </row>
    <row r="1739" spans="1:33" x14ac:dyDescent="0.25">
      <c r="A1739" t="str">
        <f>"1437135381"</f>
        <v>1437135381</v>
      </c>
      <c r="B1739" t="str">
        <f>"01590849"</f>
        <v>01590849</v>
      </c>
      <c r="C1739" t="s">
        <v>9594</v>
      </c>
      <c r="D1739" t="s">
        <v>9595</v>
      </c>
      <c r="E1739" t="s">
        <v>9596</v>
      </c>
      <c r="G1739" t="s">
        <v>4739</v>
      </c>
      <c r="H1739" t="s">
        <v>2761</v>
      </c>
      <c r="J1739" t="s">
        <v>4740</v>
      </c>
      <c r="L1739" t="s">
        <v>80</v>
      </c>
      <c r="M1739" t="s">
        <v>72</v>
      </c>
      <c r="R1739" t="s">
        <v>9597</v>
      </c>
      <c r="W1739" t="s">
        <v>9598</v>
      </c>
      <c r="X1739" t="s">
        <v>2968</v>
      </c>
      <c r="Y1739" t="s">
        <v>2667</v>
      </c>
      <c r="Z1739" t="s">
        <v>73</v>
      </c>
      <c r="AA1739" t="str">
        <f>"14057-1104"</f>
        <v>14057-1104</v>
      </c>
      <c r="AB1739" t="s">
        <v>74</v>
      </c>
      <c r="AC1739" t="s">
        <v>75</v>
      </c>
      <c r="AD1739" t="s">
        <v>72</v>
      </c>
      <c r="AE1739" t="s">
        <v>76</v>
      </c>
      <c r="AF1739" t="s">
        <v>3961</v>
      </c>
      <c r="AG1739" t="s">
        <v>77</v>
      </c>
    </row>
    <row r="1740" spans="1:33" x14ac:dyDescent="0.25">
      <c r="A1740" t="str">
        <f>"1194765933"</f>
        <v>1194765933</v>
      </c>
      <c r="B1740" t="str">
        <f>"01197575"</f>
        <v>01197575</v>
      </c>
      <c r="C1740" t="s">
        <v>9599</v>
      </c>
      <c r="D1740" t="s">
        <v>9600</v>
      </c>
      <c r="E1740" t="s">
        <v>9601</v>
      </c>
      <c r="G1740" t="s">
        <v>9599</v>
      </c>
      <c r="H1740" t="s">
        <v>4732</v>
      </c>
      <c r="J1740" t="s">
        <v>9602</v>
      </c>
      <c r="L1740" t="s">
        <v>79</v>
      </c>
      <c r="M1740" t="s">
        <v>72</v>
      </c>
      <c r="R1740" t="s">
        <v>9603</v>
      </c>
      <c r="W1740" t="s">
        <v>9601</v>
      </c>
      <c r="X1740" t="s">
        <v>7913</v>
      </c>
      <c r="Y1740" t="s">
        <v>117</v>
      </c>
      <c r="Z1740" t="s">
        <v>73</v>
      </c>
      <c r="AA1740" t="str">
        <f>"14220-2039"</f>
        <v>14220-2039</v>
      </c>
      <c r="AB1740" t="s">
        <v>74</v>
      </c>
      <c r="AC1740" t="s">
        <v>75</v>
      </c>
      <c r="AD1740" t="s">
        <v>72</v>
      </c>
      <c r="AE1740" t="s">
        <v>76</v>
      </c>
      <c r="AF1740" t="s">
        <v>3974</v>
      </c>
      <c r="AG1740" t="s">
        <v>77</v>
      </c>
    </row>
    <row r="1741" spans="1:33" x14ac:dyDescent="0.25">
      <c r="A1741" t="str">
        <f>"1124337365"</f>
        <v>1124337365</v>
      </c>
      <c r="B1741" t="str">
        <f>"03738841"</f>
        <v>03738841</v>
      </c>
      <c r="C1741" t="s">
        <v>9604</v>
      </c>
      <c r="D1741" t="s">
        <v>2884</v>
      </c>
      <c r="E1741" t="s">
        <v>2885</v>
      </c>
      <c r="G1741" t="s">
        <v>5402</v>
      </c>
      <c r="H1741" t="s">
        <v>877</v>
      </c>
      <c r="J1741" t="s">
        <v>5403</v>
      </c>
      <c r="L1741" t="s">
        <v>79</v>
      </c>
      <c r="M1741" t="s">
        <v>72</v>
      </c>
      <c r="R1741" t="s">
        <v>2886</v>
      </c>
      <c r="W1741" t="s">
        <v>2887</v>
      </c>
      <c r="X1741" t="s">
        <v>1341</v>
      </c>
      <c r="Y1741" t="s">
        <v>117</v>
      </c>
      <c r="Z1741" t="s">
        <v>73</v>
      </c>
      <c r="AA1741" t="str">
        <f>"14209-1802"</f>
        <v>14209-1802</v>
      </c>
      <c r="AB1741" t="s">
        <v>74</v>
      </c>
      <c r="AC1741" t="s">
        <v>75</v>
      </c>
      <c r="AD1741" t="s">
        <v>72</v>
      </c>
      <c r="AE1741" t="s">
        <v>76</v>
      </c>
      <c r="AF1741" t="s">
        <v>4049</v>
      </c>
      <c r="AG1741" t="s">
        <v>77</v>
      </c>
    </row>
    <row r="1742" spans="1:33" x14ac:dyDescent="0.25">
      <c r="A1742" t="str">
        <f>"1497828461"</f>
        <v>1497828461</v>
      </c>
      <c r="B1742" t="str">
        <f>"00671807"</f>
        <v>00671807</v>
      </c>
      <c r="C1742" t="s">
        <v>9605</v>
      </c>
      <c r="D1742" t="s">
        <v>1580</v>
      </c>
      <c r="E1742" t="s">
        <v>1579</v>
      </c>
      <c r="G1742" t="s">
        <v>9606</v>
      </c>
      <c r="H1742" t="s">
        <v>1581</v>
      </c>
      <c r="J1742" t="s">
        <v>9607</v>
      </c>
      <c r="L1742" t="s">
        <v>95</v>
      </c>
      <c r="M1742" t="s">
        <v>81</v>
      </c>
      <c r="R1742" t="s">
        <v>1579</v>
      </c>
      <c r="W1742" t="s">
        <v>1579</v>
      </c>
      <c r="X1742" t="s">
        <v>1582</v>
      </c>
      <c r="Y1742" t="s">
        <v>851</v>
      </c>
      <c r="Z1742" t="s">
        <v>73</v>
      </c>
      <c r="AA1742" t="str">
        <f>"14047-9670"</f>
        <v>14047-9670</v>
      </c>
      <c r="AB1742" t="s">
        <v>109</v>
      </c>
      <c r="AC1742" t="s">
        <v>75</v>
      </c>
      <c r="AD1742" t="s">
        <v>72</v>
      </c>
      <c r="AE1742" t="s">
        <v>76</v>
      </c>
      <c r="AF1742" t="s">
        <v>4059</v>
      </c>
      <c r="AG1742" t="s">
        <v>77</v>
      </c>
    </row>
    <row r="1743" spans="1:33" x14ac:dyDescent="0.25">
      <c r="A1743" t="str">
        <f>"1366670051"</f>
        <v>1366670051</v>
      </c>
      <c r="B1743" t="str">
        <f>"03506416"</f>
        <v>03506416</v>
      </c>
      <c r="C1743" t="s">
        <v>9608</v>
      </c>
      <c r="D1743" t="s">
        <v>244</v>
      </c>
      <c r="E1743" t="s">
        <v>245</v>
      </c>
      <c r="G1743" t="s">
        <v>9608</v>
      </c>
      <c r="H1743" t="s">
        <v>9609</v>
      </c>
      <c r="J1743" t="s">
        <v>9610</v>
      </c>
      <c r="L1743" t="s">
        <v>71</v>
      </c>
      <c r="M1743" t="s">
        <v>72</v>
      </c>
      <c r="R1743" t="s">
        <v>245</v>
      </c>
      <c r="W1743" t="s">
        <v>245</v>
      </c>
      <c r="X1743" t="s">
        <v>246</v>
      </c>
      <c r="Y1743" t="s">
        <v>247</v>
      </c>
      <c r="Z1743" t="s">
        <v>73</v>
      </c>
      <c r="AA1743" t="str">
        <f>"14225-4018"</f>
        <v>14225-4018</v>
      </c>
      <c r="AB1743" t="s">
        <v>74</v>
      </c>
      <c r="AC1743" t="s">
        <v>75</v>
      </c>
      <c r="AD1743" t="s">
        <v>72</v>
      </c>
      <c r="AE1743" t="s">
        <v>76</v>
      </c>
      <c r="AF1743" t="s">
        <v>4043</v>
      </c>
      <c r="AG1743" t="s">
        <v>77</v>
      </c>
    </row>
    <row r="1744" spans="1:33" x14ac:dyDescent="0.25">
      <c r="A1744" t="str">
        <f>"1891745758"</f>
        <v>1891745758</v>
      </c>
      <c r="B1744" t="str">
        <f>"00474819"</f>
        <v>00474819</v>
      </c>
      <c r="C1744" t="s">
        <v>9611</v>
      </c>
      <c r="D1744" t="s">
        <v>9612</v>
      </c>
      <c r="E1744" t="s">
        <v>9613</v>
      </c>
      <c r="G1744" t="s">
        <v>9614</v>
      </c>
      <c r="H1744" t="s">
        <v>9615</v>
      </c>
      <c r="J1744" t="s">
        <v>9616</v>
      </c>
      <c r="L1744" t="s">
        <v>106</v>
      </c>
      <c r="M1744" t="s">
        <v>81</v>
      </c>
      <c r="R1744" t="s">
        <v>9617</v>
      </c>
      <c r="W1744" t="s">
        <v>9613</v>
      </c>
      <c r="X1744" t="s">
        <v>3428</v>
      </c>
      <c r="Y1744" t="s">
        <v>117</v>
      </c>
      <c r="Z1744" t="s">
        <v>73</v>
      </c>
      <c r="AA1744" t="str">
        <f>"14203-1002"</f>
        <v>14203-1002</v>
      </c>
      <c r="AB1744" t="s">
        <v>83</v>
      </c>
      <c r="AC1744" t="s">
        <v>75</v>
      </c>
      <c r="AD1744" t="s">
        <v>72</v>
      </c>
      <c r="AE1744" t="s">
        <v>76</v>
      </c>
      <c r="AF1744" t="s">
        <v>4059</v>
      </c>
      <c r="AG1744" t="s">
        <v>77</v>
      </c>
    </row>
    <row r="1745" spans="1:33" x14ac:dyDescent="0.25">
      <c r="C1745" t="s">
        <v>3812</v>
      </c>
      <c r="G1745" t="s">
        <v>9618</v>
      </c>
      <c r="H1745" t="s">
        <v>3813</v>
      </c>
      <c r="J1745" t="s">
        <v>9619</v>
      </c>
      <c r="K1745" t="s">
        <v>89</v>
      </c>
      <c r="L1745" t="s">
        <v>90</v>
      </c>
      <c r="M1745" t="s">
        <v>72</v>
      </c>
      <c r="N1745" t="s">
        <v>9620</v>
      </c>
      <c r="O1745" t="s">
        <v>1101</v>
      </c>
      <c r="P1745" t="s">
        <v>73</v>
      </c>
      <c r="Q1745" t="str">
        <f>"14202"</f>
        <v>14202</v>
      </c>
      <c r="AC1745" t="s">
        <v>75</v>
      </c>
      <c r="AD1745" t="s">
        <v>72</v>
      </c>
      <c r="AE1745" t="s">
        <v>91</v>
      </c>
      <c r="AF1745" t="s">
        <v>4059</v>
      </c>
      <c r="AG1745" t="s">
        <v>77</v>
      </c>
    </row>
    <row r="1746" spans="1:33" x14ac:dyDescent="0.25">
      <c r="A1746" t="str">
        <f>"1740344647"</f>
        <v>1740344647</v>
      </c>
      <c r="B1746" t="str">
        <f>"02997208"</f>
        <v>02997208</v>
      </c>
      <c r="C1746" t="s">
        <v>5676</v>
      </c>
      <c r="D1746" t="s">
        <v>1195</v>
      </c>
      <c r="E1746" t="s">
        <v>1196</v>
      </c>
      <c r="G1746" t="s">
        <v>5677</v>
      </c>
      <c r="H1746" t="s">
        <v>5678</v>
      </c>
      <c r="J1746" t="s">
        <v>5679</v>
      </c>
      <c r="L1746" t="s">
        <v>10</v>
      </c>
      <c r="M1746" t="s">
        <v>72</v>
      </c>
      <c r="R1746" t="s">
        <v>94</v>
      </c>
      <c r="W1746" t="s">
        <v>1197</v>
      </c>
      <c r="X1746" t="s">
        <v>1198</v>
      </c>
      <c r="Y1746" t="s">
        <v>117</v>
      </c>
      <c r="Z1746" t="s">
        <v>73</v>
      </c>
      <c r="AA1746" t="str">
        <f>"14213-1207"</f>
        <v>14213-1207</v>
      </c>
      <c r="AB1746" t="s">
        <v>83</v>
      </c>
      <c r="AC1746" t="s">
        <v>75</v>
      </c>
      <c r="AD1746" t="s">
        <v>72</v>
      </c>
      <c r="AE1746" t="s">
        <v>76</v>
      </c>
      <c r="AF1746" t="s">
        <v>4879</v>
      </c>
      <c r="AG1746" t="s">
        <v>77</v>
      </c>
    </row>
    <row r="1747" spans="1:33" x14ac:dyDescent="0.25">
      <c r="A1747" t="str">
        <f>"1922162197"</f>
        <v>1922162197</v>
      </c>
      <c r="B1747" t="str">
        <f>"00476628"</f>
        <v>00476628</v>
      </c>
      <c r="C1747" t="s">
        <v>5676</v>
      </c>
      <c r="D1747" t="s">
        <v>3372</v>
      </c>
      <c r="E1747" t="s">
        <v>3373</v>
      </c>
      <c r="G1747" t="s">
        <v>5677</v>
      </c>
      <c r="H1747" t="s">
        <v>5678</v>
      </c>
      <c r="J1747" t="s">
        <v>5679</v>
      </c>
      <c r="L1747" t="s">
        <v>10</v>
      </c>
      <c r="M1747" t="s">
        <v>72</v>
      </c>
      <c r="R1747" t="s">
        <v>94</v>
      </c>
      <c r="W1747" t="s">
        <v>3373</v>
      </c>
      <c r="X1747" t="s">
        <v>3374</v>
      </c>
      <c r="Y1747" t="s">
        <v>117</v>
      </c>
      <c r="Z1747" t="s">
        <v>73</v>
      </c>
      <c r="AA1747" t="str">
        <f>"14213-1207"</f>
        <v>14213-1207</v>
      </c>
      <c r="AB1747" t="s">
        <v>86</v>
      </c>
      <c r="AC1747" t="s">
        <v>75</v>
      </c>
      <c r="AD1747" t="s">
        <v>72</v>
      </c>
      <c r="AE1747" t="s">
        <v>76</v>
      </c>
      <c r="AF1747" t="s">
        <v>4879</v>
      </c>
      <c r="AG1747" t="s">
        <v>77</v>
      </c>
    </row>
    <row r="1748" spans="1:33" x14ac:dyDescent="0.25">
      <c r="A1748" t="str">
        <f>"1790790442"</f>
        <v>1790790442</v>
      </c>
      <c r="B1748" t="str">
        <f>"01167995"</f>
        <v>01167995</v>
      </c>
      <c r="C1748" t="s">
        <v>9621</v>
      </c>
      <c r="D1748" t="s">
        <v>3526</v>
      </c>
      <c r="E1748" t="s">
        <v>3527</v>
      </c>
      <c r="G1748" t="s">
        <v>4017</v>
      </c>
      <c r="H1748" t="s">
        <v>597</v>
      </c>
      <c r="J1748" t="s">
        <v>4018</v>
      </c>
      <c r="L1748" t="s">
        <v>79</v>
      </c>
      <c r="M1748" t="s">
        <v>72</v>
      </c>
      <c r="R1748" t="s">
        <v>3528</v>
      </c>
      <c r="W1748" t="s">
        <v>3527</v>
      </c>
      <c r="X1748" t="s">
        <v>1320</v>
      </c>
      <c r="Y1748" t="s">
        <v>117</v>
      </c>
      <c r="Z1748" t="s">
        <v>73</v>
      </c>
      <c r="AA1748" t="str">
        <f>"14215-1145"</f>
        <v>14215-1145</v>
      </c>
      <c r="AB1748" t="s">
        <v>74</v>
      </c>
      <c r="AC1748" t="s">
        <v>75</v>
      </c>
      <c r="AD1748" t="s">
        <v>72</v>
      </c>
      <c r="AE1748" t="s">
        <v>76</v>
      </c>
      <c r="AF1748" t="s">
        <v>3974</v>
      </c>
      <c r="AG1748" t="s">
        <v>77</v>
      </c>
    </row>
    <row r="1749" spans="1:33" x14ac:dyDescent="0.25">
      <c r="A1749" t="str">
        <f>"1437280955"</f>
        <v>1437280955</v>
      </c>
      <c r="B1749" t="str">
        <f>"03000819"</f>
        <v>03000819</v>
      </c>
      <c r="C1749" t="s">
        <v>8227</v>
      </c>
      <c r="D1749" t="s">
        <v>457</v>
      </c>
      <c r="E1749" t="s">
        <v>458</v>
      </c>
      <c r="G1749" t="s">
        <v>6157</v>
      </c>
      <c r="H1749" t="s">
        <v>6158</v>
      </c>
      <c r="J1749" t="s">
        <v>6159</v>
      </c>
      <c r="L1749" t="s">
        <v>125</v>
      </c>
      <c r="M1749" t="s">
        <v>81</v>
      </c>
      <c r="R1749" t="s">
        <v>459</v>
      </c>
      <c r="W1749" t="s">
        <v>458</v>
      </c>
      <c r="X1749" t="s">
        <v>231</v>
      </c>
      <c r="Y1749" t="s">
        <v>232</v>
      </c>
      <c r="Z1749" t="s">
        <v>73</v>
      </c>
      <c r="AA1749" t="str">
        <f>"14103-1063"</f>
        <v>14103-1063</v>
      </c>
      <c r="AB1749" t="s">
        <v>86</v>
      </c>
      <c r="AC1749" t="s">
        <v>75</v>
      </c>
      <c r="AD1749" t="s">
        <v>72</v>
      </c>
      <c r="AE1749" t="s">
        <v>76</v>
      </c>
      <c r="AF1749" t="s">
        <v>3986</v>
      </c>
      <c r="AG1749" t="s">
        <v>77</v>
      </c>
    </row>
    <row r="1750" spans="1:33" x14ac:dyDescent="0.25">
      <c r="A1750" t="str">
        <f>"1467583989"</f>
        <v>1467583989</v>
      </c>
      <c r="B1750" t="str">
        <f>"03000828"</f>
        <v>03000828</v>
      </c>
      <c r="C1750" t="s">
        <v>8227</v>
      </c>
      <c r="D1750" t="s">
        <v>457</v>
      </c>
      <c r="E1750" t="s">
        <v>458</v>
      </c>
      <c r="G1750" t="s">
        <v>6157</v>
      </c>
      <c r="H1750" t="s">
        <v>6158</v>
      </c>
      <c r="J1750" t="s">
        <v>6159</v>
      </c>
      <c r="L1750" t="s">
        <v>125</v>
      </c>
      <c r="M1750" t="s">
        <v>81</v>
      </c>
      <c r="R1750" t="s">
        <v>459</v>
      </c>
      <c r="W1750" t="s">
        <v>458</v>
      </c>
      <c r="X1750" t="s">
        <v>231</v>
      </c>
      <c r="Y1750" t="s">
        <v>232</v>
      </c>
      <c r="Z1750" t="s">
        <v>73</v>
      </c>
      <c r="AA1750" t="str">
        <f>"14103-1063"</f>
        <v>14103-1063</v>
      </c>
      <c r="AB1750" t="s">
        <v>86</v>
      </c>
      <c r="AC1750" t="s">
        <v>75</v>
      </c>
      <c r="AD1750" t="s">
        <v>72</v>
      </c>
      <c r="AE1750" t="s">
        <v>76</v>
      </c>
      <c r="AF1750" t="s">
        <v>3986</v>
      </c>
      <c r="AG1750" t="s">
        <v>77</v>
      </c>
    </row>
    <row r="1751" spans="1:33" x14ac:dyDescent="0.25">
      <c r="A1751" t="str">
        <f>"1558492074"</f>
        <v>1558492074</v>
      </c>
      <c r="B1751" t="str">
        <f>"03000837"</f>
        <v>03000837</v>
      </c>
      <c r="C1751" t="s">
        <v>8227</v>
      </c>
      <c r="D1751" t="s">
        <v>457</v>
      </c>
      <c r="E1751" t="s">
        <v>458</v>
      </c>
      <c r="G1751" t="s">
        <v>6157</v>
      </c>
      <c r="H1751" t="s">
        <v>6158</v>
      </c>
      <c r="J1751" t="s">
        <v>6159</v>
      </c>
      <c r="L1751" t="s">
        <v>125</v>
      </c>
      <c r="M1751" t="s">
        <v>81</v>
      </c>
      <c r="R1751" t="s">
        <v>459</v>
      </c>
      <c r="W1751" t="s">
        <v>458</v>
      </c>
      <c r="X1751" t="s">
        <v>231</v>
      </c>
      <c r="Y1751" t="s">
        <v>232</v>
      </c>
      <c r="Z1751" t="s">
        <v>73</v>
      </c>
      <c r="AA1751" t="str">
        <f>"14103-1063"</f>
        <v>14103-1063</v>
      </c>
      <c r="AB1751" t="s">
        <v>86</v>
      </c>
      <c r="AC1751" t="s">
        <v>75</v>
      </c>
      <c r="AD1751" t="s">
        <v>72</v>
      </c>
      <c r="AE1751" t="s">
        <v>76</v>
      </c>
      <c r="AF1751" t="s">
        <v>3986</v>
      </c>
      <c r="AG1751" t="s">
        <v>77</v>
      </c>
    </row>
    <row r="1752" spans="1:33" x14ac:dyDescent="0.25">
      <c r="A1752" t="str">
        <f>"1679641864"</f>
        <v>1679641864</v>
      </c>
      <c r="B1752" t="str">
        <f>"03000855"</f>
        <v>03000855</v>
      </c>
      <c r="C1752" t="s">
        <v>8227</v>
      </c>
      <c r="D1752" t="s">
        <v>457</v>
      </c>
      <c r="E1752" t="s">
        <v>458</v>
      </c>
      <c r="G1752" t="s">
        <v>6157</v>
      </c>
      <c r="H1752" t="s">
        <v>6158</v>
      </c>
      <c r="J1752" t="s">
        <v>6159</v>
      </c>
      <c r="L1752" t="s">
        <v>125</v>
      </c>
      <c r="M1752" t="s">
        <v>81</v>
      </c>
      <c r="R1752" t="s">
        <v>459</v>
      </c>
      <c r="W1752" t="s">
        <v>458</v>
      </c>
      <c r="X1752" t="s">
        <v>231</v>
      </c>
      <c r="Y1752" t="s">
        <v>232</v>
      </c>
      <c r="Z1752" t="s">
        <v>73</v>
      </c>
      <c r="AA1752" t="str">
        <f>"14103-1063"</f>
        <v>14103-1063</v>
      </c>
      <c r="AB1752" t="s">
        <v>86</v>
      </c>
      <c r="AC1752" t="s">
        <v>75</v>
      </c>
      <c r="AD1752" t="s">
        <v>72</v>
      </c>
      <c r="AE1752" t="s">
        <v>76</v>
      </c>
      <c r="AF1752" t="s">
        <v>3986</v>
      </c>
      <c r="AG1752" t="s">
        <v>77</v>
      </c>
    </row>
    <row r="1753" spans="1:33" x14ac:dyDescent="0.25">
      <c r="A1753" t="str">
        <f>"1043341563"</f>
        <v>1043341563</v>
      </c>
      <c r="B1753" t="str">
        <f>"00314163"</f>
        <v>00314163</v>
      </c>
      <c r="C1753" t="s">
        <v>8227</v>
      </c>
      <c r="D1753" t="s">
        <v>547</v>
      </c>
      <c r="E1753" t="s">
        <v>548</v>
      </c>
      <c r="G1753" t="s">
        <v>6157</v>
      </c>
      <c r="H1753" t="s">
        <v>6158</v>
      </c>
      <c r="J1753" t="s">
        <v>6159</v>
      </c>
      <c r="L1753" t="s">
        <v>97</v>
      </c>
      <c r="M1753" t="s">
        <v>81</v>
      </c>
      <c r="R1753" t="s">
        <v>459</v>
      </c>
      <c r="W1753" t="s">
        <v>548</v>
      </c>
      <c r="X1753" t="s">
        <v>231</v>
      </c>
      <c r="Y1753" t="s">
        <v>232</v>
      </c>
      <c r="Z1753" t="s">
        <v>73</v>
      </c>
      <c r="AA1753" t="str">
        <f>"14103-1063"</f>
        <v>14103-1063</v>
      </c>
      <c r="AB1753" t="s">
        <v>86</v>
      </c>
      <c r="AC1753" t="s">
        <v>75</v>
      </c>
      <c r="AD1753" t="s">
        <v>72</v>
      </c>
      <c r="AE1753" t="s">
        <v>76</v>
      </c>
      <c r="AF1753" t="s">
        <v>3986</v>
      </c>
      <c r="AG1753" t="s">
        <v>77</v>
      </c>
    </row>
    <row r="1754" spans="1:33" x14ac:dyDescent="0.25">
      <c r="A1754" t="str">
        <f>"1023149549"</f>
        <v>1023149549</v>
      </c>
      <c r="C1754" t="s">
        <v>8227</v>
      </c>
      <c r="G1754" t="s">
        <v>6157</v>
      </c>
      <c r="H1754" t="s">
        <v>6158</v>
      </c>
      <c r="J1754" t="s">
        <v>6159</v>
      </c>
      <c r="K1754" t="s">
        <v>89</v>
      </c>
      <c r="L1754" t="s">
        <v>92</v>
      </c>
      <c r="M1754" t="s">
        <v>72</v>
      </c>
      <c r="R1754" t="s">
        <v>459</v>
      </c>
      <c r="S1754" t="s">
        <v>9622</v>
      </c>
      <c r="T1754" t="s">
        <v>232</v>
      </c>
      <c r="U1754" t="s">
        <v>73</v>
      </c>
      <c r="V1754" t="str">
        <f>"141031063"</f>
        <v>141031063</v>
      </c>
      <c r="AC1754" t="s">
        <v>75</v>
      </c>
      <c r="AD1754" t="s">
        <v>72</v>
      </c>
      <c r="AE1754" t="s">
        <v>93</v>
      </c>
      <c r="AF1754" t="s">
        <v>3986</v>
      </c>
      <c r="AG1754" t="s">
        <v>77</v>
      </c>
    </row>
    <row r="1755" spans="1:33" x14ac:dyDescent="0.25">
      <c r="A1755" t="str">
        <f>"1801886965"</f>
        <v>1801886965</v>
      </c>
      <c r="B1755" t="str">
        <f>"01842882"</f>
        <v>01842882</v>
      </c>
      <c r="C1755" t="s">
        <v>9623</v>
      </c>
      <c r="D1755" t="s">
        <v>3718</v>
      </c>
      <c r="E1755" t="s">
        <v>3719</v>
      </c>
      <c r="G1755" t="s">
        <v>4786</v>
      </c>
      <c r="H1755" t="s">
        <v>1728</v>
      </c>
      <c r="J1755" t="s">
        <v>4787</v>
      </c>
      <c r="L1755" t="s">
        <v>79</v>
      </c>
      <c r="M1755" t="s">
        <v>72</v>
      </c>
      <c r="R1755" t="s">
        <v>3720</v>
      </c>
      <c r="W1755" t="s">
        <v>3721</v>
      </c>
      <c r="X1755" t="s">
        <v>3722</v>
      </c>
      <c r="Y1755" t="s">
        <v>247</v>
      </c>
      <c r="Z1755" t="s">
        <v>73</v>
      </c>
      <c r="AA1755" t="str">
        <f>"14225-2591"</f>
        <v>14225-2591</v>
      </c>
      <c r="AB1755" t="s">
        <v>74</v>
      </c>
      <c r="AC1755" t="s">
        <v>75</v>
      </c>
      <c r="AD1755" t="s">
        <v>72</v>
      </c>
      <c r="AE1755" t="s">
        <v>76</v>
      </c>
      <c r="AF1755" t="s">
        <v>3974</v>
      </c>
      <c r="AG1755" t="s">
        <v>77</v>
      </c>
    </row>
    <row r="1756" spans="1:33" x14ac:dyDescent="0.25">
      <c r="A1756" t="str">
        <f>"1902061914"</f>
        <v>1902061914</v>
      </c>
      <c r="B1756" t="str">
        <f>"03442573"</f>
        <v>03442573</v>
      </c>
      <c r="C1756" t="s">
        <v>9624</v>
      </c>
      <c r="D1756" t="s">
        <v>2118</v>
      </c>
      <c r="E1756" t="s">
        <v>2119</v>
      </c>
      <c r="G1756" t="s">
        <v>4786</v>
      </c>
      <c r="H1756" t="s">
        <v>9276</v>
      </c>
      <c r="J1756" t="s">
        <v>4787</v>
      </c>
      <c r="L1756" t="s">
        <v>79</v>
      </c>
      <c r="M1756" t="s">
        <v>72</v>
      </c>
      <c r="R1756" t="s">
        <v>2120</v>
      </c>
      <c r="W1756" t="s">
        <v>2119</v>
      </c>
      <c r="X1756" t="s">
        <v>566</v>
      </c>
      <c r="Y1756" t="s">
        <v>247</v>
      </c>
      <c r="Z1756" t="s">
        <v>73</v>
      </c>
      <c r="AA1756" t="str">
        <f>"14225-2591"</f>
        <v>14225-2591</v>
      </c>
      <c r="AB1756" t="s">
        <v>74</v>
      </c>
      <c r="AC1756" t="s">
        <v>75</v>
      </c>
      <c r="AD1756" t="s">
        <v>72</v>
      </c>
      <c r="AE1756" t="s">
        <v>76</v>
      </c>
      <c r="AF1756" t="s">
        <v>3974</v>
      </c>
      <c r="AG1756" t="s">
        <v>77</v>
      </c>
    </row>
    <row r="1757" spans="1:33" x14ac:dyDescent="0.25">
      <c r="A1757" t="str">
        <f>"1447437876"</f>
        <v>1447437876</v>
      </c>
      <c r="B1757" t="str">
        <f>"03247656"</f>
        <v>03247656</v>
      </c>
      <c r="C1757" t="s">
        <v>9625</v>
      </c>
      <c r="D1757" t="s">
        <v>9626</v>
      </c>
      <c r="E1757" t="s">
        <v>9627</v>
      </c>
      <c r="G1757" t="s">
        <v>3969</v>
      </c>
      <c r="H1757" t="s">
        <v>3970</v>
      </c>
      <c r="J1757" t="s">
        <v>3971</v>
      </c>
      <c r="L1757" t="s">
        <v>79</v>
      </c>
      <c r="M1757" t="s">
        <v>72</v>
      </c>
      <c r="R1757" t="s">
        <v>9628</v>
      </c>
      <c r="W1757" t="s">
        <v>9627</v>
      </c>
      <c r="X1757" t="s">
        <v>234</v>
      </c>
      <c r="Y1757" t="s">
        <v>117</v>
      </c>
      <c r="Z1757" t="s">
        <v>73</v>
      </c>
      <c r="AA1757" t="str">
        <f>"14220-2039"</f>
        <v>14220-2039</v>
      </c>
      <c r="AB1757" t="s">
        <v>74</v>
      </c>
      <c r="AC1757" t="s">
        <v>75</v>
      </c>
      <c r="AD1757" t="s">
        <v>72</v>
      </c>
      <c r="AE1757" t="s">
        <v>76</v>
      </c>
      <c r="AF1757" t="s">
        <v>3974</v>
      </c>
      <c r="AG1757" t="s">
        <v>77</v>
      </c>
    </row>
    <row r="1758" spans="1:33" x14ac:dyDescent="0.25">
      <c r="A1758" t="str">
        <f>"1225000268"</f>
        <v>1225000268</v>
      </c>
      <c r="B1758" t="str">
        <f>"01688288"</f>
        <v>01688288</v>
      </c>
      <c r="C1758" t="s">
        <v>9629</v>
      </c>
      <c r="D1758" t="s">
        <v>9630</v>
      </c>
      <c r="E1758" t="s">
        <v>9631</v>
      </c>
      <c r="G1758" t="s">
        <v>8410</v>
      </c>
      <c r="H1758" t="s">
        <v>8411</v>
      </c>
      <c r="J1758" t="s">
        <v>8412</v>
      </c>
      <c r="L1758" t="s">
        <v>80</v>
      </c>
      <c r="M1758" t="s">
        <v>81</v>
      </c>
      <c r="R1758" t="s">
        <v>9632</v>
      </c>
      <c r="W1758" t="s">
        <v>9631</v>
      </c>
      <c r="X1758" t="s">
        <v>446</v>
      </c>
      <c r="Y1758" t="s">
        <v>117</v>
      </c>
      <c r="Z1758" t="s">
        <v>73</v>
      </c>
      <c r="AA1758" t="str">
        <f>"14209-1194"</f>
        <v>14209-1194</v>
      </c>
      <c r="AB1758" t="s">
        <v>74</v>
      </c>
      <c r="AC1758" t="s">
        <v>75</v>
      </c>
      <c r="AD1758" t="s">
        <v>72</v>
      </c>
      <c r="AE1758" t="s">
        <v>76</v>
      </c>
      <c r="AF1758" t="s">
        <v>3961</v>
      </c>
      <c r="AG1758" t="s">
        <v>77</v>
      </c>
    </row>
    <row r="1759" spans="1:33" x14ac:dyDescent="0.25">
      <c r="A1759" t="str">
        <f>"1316911779"</f>
        <v>1316911779</v>
      </c>
      <c r="B1759" t="str">
        <f>"01482177"</f>
        <v>01482177</v>
      </c>
      <c r="C1759" t="s">
        <v>9633</v>
      </c>
      <c r="D1759" t="s">
        <v>3223</v>
      </c>
      <c r="E1759" t="s">
        <v>3224</v>
      </c>
      <c r="G1759" t="s">
        <v>4786</v>
      </c>
      <c r="H1759" t="s">
        <v>1728</v>
      </c>
      <c r="J1759" t="s">
        <v>4787</v>
      </c>
      <c r="L1759" t="s">
        <v>79</v>
      </c>
      <c r="M1759" t="s">
        <v>72</v>
      </c>
      <c r="R1759" t="s">
        <v>3225</v>
      </c>
      <c r="W1759" t="s">
        <v>3226</v>
      </c>
      <c r="X1759" t="s">
        <v>1132</v>
      </c>
      <c r="Y1759" t="s">
        <v>117</v>
      </c>
      <c r="Z1759" t="s">
        <v>73</v>
      </c>
      <c r="AA1759" t="str">
        <f>"14214-2648"</f>
        <v>14214-2648</v>
      </c>
      <c r="AB1759" t="s">
        <v>74</v>
      </c>
      <c r="AC1759" t="s">
        <v>75</v>
      </c>
      <c r="AD1759" t="s">
        <v>72</v>
      </c>
      <c r="AE1759" t="s">
        <v>76</v>
      </c>
      <c r="AF1759" t="s">
        <v>3974</v>
      </c>
      <c r="AG1759" t="s">
        <v>77</v>
      </c>
    </row>
    <row r="1760" spans="1:33" x14ac:dyDescent="0.25">
      <c r="A1760" t="str">
        <f>"1790766269"</f>
        <v>1790766269</v>
      </c>
      <c r="B1760" t="str">
        <f>"02705791"</f>
        <v>02705791</v>
      </c>
      <c r="C1760" t="s">
        <v>9634</v>
      </c>
      <c r="D1760" t="s">
        <v>9635</v>
      </c>
      <c r="E1760" t="s">
        <v>9636</v>
      </c>
      <c r="G1760" t="s">
        <v>9634</v>
      </c>
      <c r="H1760" t="s">
        <v>4866</v>
      </c>
      <c r="J1760" t="s">
        <v>9637</v>
      </c>
      <c r="L1760" t="s">
        <v>79</v>
      </c>
      <c r="M1760" t="s">
        <v>72</v>
      </c>
      <c r="R1760" t="s">
        <v>9638</v>
      </c>
      <c r="W1760" t="s">
        <v>9636</v>
      </c>
      <c r="X1760" t="s">
        <v>204</v>
      </c>
      <c r="Y1760" t="s">
        <v>117</v>
      </c>
      <c r="Z1760" t="s">
        <v>73</v>
      </c>
      <c r="AA1760" t="str">
        <f>"14263-0001"</f>
        <v>14263-0001</v>
      </c>
      <c r="AB1760" t="s">
        <v>74</v>
      </c>
      <c r="AC1760" t="s">
        <v>75</v>
      </c>
      <c r="AD1760" t="s">
        <v>72</v>
      </c>
      <c r="AE1760" t="s">
        <v>76</v>
      </c>
      <c r="AF1760" t="s">
        <v>3974</v>
      </c>
      <c r="AG1760" t="s">
        <v>77</v>
      </c>
    </row>
    <row r="1761" spans="1:33" x14ac:dyDescent="0.25">
      <c r="A1761" t="str">
        <f>"1942515994"</f>
        <v>1942515994</v>
      </c>
      <c r="B1761" t="str">
        <f>"03371280"</f>
        <v>03371280</v>
      </c>
      <c r="C1761" t="s">
        <v>9639</v>
      </c>
      <c r="D1761" t="s">
        <v>9640</v>
      </c>
      <c r="E1761" t="s">
        <v>9641</v>
      </c>
      <c r="G1761" t="s">
        <v>3969</v>
      </c>
      <c r="H1761" t="s">
        <v>3970</v>
      </c>
      <c r="J1761" t="s">
        <v>3971</v>
      </c>
      <c r="L1761" t="s">
        <v>79</v>
      </c>
      <c r="M1761" t="s">
        <v>72</v>
      </c>
      <c r="R1761" t="s">
        <v>9642</v>
      </c>
      <c r="W1761" t="s">
        <v>9643</v>
      </c>
      <c r="X1761" t="s">
        <v>246</v>
      </c>
      <c r="Y1761" t="s">
        <v>247</v>
      </c>
      <c r="Z1761" t="s">
        <v>73</v>
      </c>
      <c r="AA1761" t="str">
        <f>"14225-4018"</f>
        <v>14225-4018</v>
      </c>
      <c r="AB1761" t="s">
        <v>74</v>
      </c>
      <c r="AC1761" t="s">
        <v>75</v>
      </c>
      <c r="AD1761" t="s">
        <v>72</v>
      </c>
      <c r="AE1761" t="s">
        <v>76</v>
      </c>
      <c r="AF1761" t="s">
        <v>3974</v>
      </c>
      <c r="AG1761" t="s">
        <v>77</v>
      </c>
    </row>
    <row r="1762" spans="1:33" x14ac:dyDescent="0.25">
      <c r="A1762" t="str">
        <f>"1548225097"</f>
        <v>1548225097</v>
      </c>
      <c r="B1762" t="str">
        <f>"02658964"</f>
        <v>02658964</v>
      </c>
      <c r="C1762" t="s">
        <v>9644</v>
      </c>
      <c r="D1762" t="s">
        <v>1083</v>
      </c>
      <c r="E1762" t="s">
        <v>1084</v>
      </c>
      <c r="G1762" t="s">
        <v>5185</v>
      </c>
      <c r="H1762" t="s">
        <v>1015</v>
      </c>
      <c r="J1762" t="s">
        <v>5186</v>
      </c>
      <c r="L1762" t="s">
        <v>79</v>
      </c>
      <c r="M1762" t="s">
        <v>72</v>
      </c>
      <c r="R1762" t="s">
        <v>1085</v>
      </c>
      <c r="W1762" t="s">
        <v>1086</v>
      </c>
      <c r="X1762" t="s">
        <v>246</v>
      </c>
      <c r="Y1762" t="s">
        <v>247</v>
      </c>
      <c r="Z1762" t="s">
        <v>73</v>
      </c>
      <c r="AA1762" t="str">
        <f>"14225-4018"</f>
        <v>14225-4018</v>
      </c>
      <c r="AB1762" t="s">
        <v>74</v>
      </c>
      <c r="AC1762" t="s">
        <v>75</v>
      </c>
      <c r="AD1762" t="s">
        <v>72</v>
      </c>
      <c r="AE1762" t="s">
        <v>76</v>
      </c>
      <c r="AF1762" t="s">
        <v>3974</v>
      </c>
      <c r="AG1762" t="s">
        <v>77</v>
      </c>
    </row>
    <row r="1763" spans="1:33" x14ac:dyDescent="0.25">
      <c r="A1763" t="str">
        <f>"1023016417"</f>
        <v>1023016417</v>
      </c>
      <c r="B1763" t="str">
        <f>"01843310"</f>
        <v>01843310</v>
      </c>
      <c r="C1763" t="s">
        <v>9645</v>
      </c>
      <c r="D1763" t="s">
        <v>9646</v>
      </c>
      <c r="E1763" t="s">
        <v>9647</v>
      </c>
      <c r="G1763" t="s">
        <v>9648</v>
      </c>
      <c r="H1763" t="s">
        <v>9649</v>
      </c>
      <c r="J1763" t="s">
        <v>9650</v>
      </c>
      <c r="L1763" t="s">
        <v>80</v>
      </c>
      <c r="M1763" t="s">
        <v>72</v>
      </c>
      <c r="R1763" t="s">
        <v>9651</v>
      </c>
      <c r="W1763" t="s">
        <v>9647</v>
      </c>
      <c r="X1763" t="s">
        <v>9647</v>
      </c>
      <c r="Y1763" t="s">
        <v>247</v>
      </c>
      <c r="Z1763" t="s">
        <v>73</v>
      </c>
      <c r="AA1763" t="str">
        <f>"14225-4018"</f>
        <v>14225-4018</v>
      </c>
      <c r="AB1763" t="s">
        <v>74</v>
      </c>
      <c r="AC1763" t="s">
        <v>75</v>
      </c>
      <c r="AD1763" t="s">
        <v>72</v>
      </c>
      <c r="AE1763" t="s">
        <v>76</v>
      </c>
      <c r="AF1763" t="s">
        <v>3961</v>
      </c>
      <c r="AG1763" t="s">
        <v>77</v>
      </c>
    </row>
    <row r="1764" spans="1:33" x14ac:dyDescent="0.25">
      <c r="A1764" t="str">
        <f>"1033162144"</f>
        <v>1033162144</v>
      </c>
      <c r="B1764" t="str">
        <f>"01437383"</f>
        <v>01437383</v>
      </c>
      <c r="C1764" t="s">
        <v>9652</v>
      </c>
      <c r="D1764" t="s">
        <v>9653</v>
      </c>
      <c r="E1764" t="s">
        <v>9654</v>
      </c>
      <c r="G1764" t="s">
        <v>3969</v>
      </c>
      <c r="H1764" t="s">
        <v>3970</v>
      </c>
      <c r="J1764" t="s">
        <v>3971</v>
      </c>
      <c r="L1764" t="s">
        <v>79</v>
      </c>
      <c r="M1764" t="s">
        <v>72</v>
      </c>
      <c r="R1764" t="s">
        <v>9655</v>
      </c>
      <c r="W1764" t="s">
        <v>9654</v>
      </c>
      <c r="X1764" t="s">
        <v>9656</v>
      </c>
      <c r="Y1764" t="s">
        <v>206</v>
      </c>
      <c r="Z1764" t="s">
        <v>73</v>
      </c>
      <c r="AA1764" t="str">
        <f>"14048-2599"</f>
        <v>14048-2599</v>
      </c>
      <c r="AB1764" t="s">
        <v>74</v>
      </c>
      <c r="AC1764" t="s">
        <v>75</v>
      </c>
      <c r="AD1764" t="s">
        <v>72</v>
      </c>
      <c r="AE1764" t="s">
        <v>76</v>
      </c>
      <c r="AF1764" t="s">
        <v>3974</v>
      </c>
      <c r="AG1764" t="s">
        <v>77</v>
      </c>
    </row>
    <row r="1765" spans="1:33" x14ac:dyDescent="0.25">
      <c r="A1765" t="str">
        <f>"1992761035"</f>
        <v>1992761035</v>
      </c>
      <c r="B1765" t="str">
        <f>"00641474"</f>
        <v>00641474</v>
      </c>
      <c r="C1765" t="s">
        <v>9657</v>
      </c>
      <c r="D1765" t="s">
        <v>9658</v>
      </c>
      <c r="E1765" t="s">
        <v>9659</v>
      </c>
      <c r="G1765" t="s">
        <v>9660</v>
      </c>
      <c r="H1765" t="s">
        <v>9661</v>
      </c>
      <c r="J1765" t="s">
        <v>9662</v>
      </c>
      <c r="L1765" t="s">
        <v>79</v>
      </c>
      <c r="M1765" t="s">
        <v>72</v>
      </c>
      <c r="R1765" t="s">
        <v>9663</v>
      </c>
      <c r="W1765" t="s">
        <v>9659</v>
      </c>
      <c r="X1765" t="s">
        <v>375</v>
      </c>
      <c r="Y1765" t="s">
        <v>221</v>
      </c>
      <c r="Z1765" t="s">
        <v>73</v>
      </c>
      <c r="AA1765" t="str">
        <f>"14221-3698"</f>
        <v>14221-3698</v>
      </c>
      <c r="AB1765" t="s">
        <v>74</v>
      </c>
      <c r="AC1765" t="s">
        <v>75</v>
      </c>
      <c r="AD1765" t="s">
        <v>72</v>
      </c>
      <c r="AE1765" t="s">
        <v>76</v>
      </c>
      <c r="AF1765" t="s">
        <v>3974</v>
      </c>
      <c r="AG1765" t="s">
        <v>77</v>
      </c>
    </row>
    <row r="1766" spans="1:33" x14ac:dyDescent="0.25">
      <c r="A1766" t="str">
        <f>"1316093412"</f>
        <v>1316093412</v>
      </c>
      <c r="B1766" t="str">
        <f>"00841323"</f>
        <v>00841323</v>
      </c>
      <c r="C1766" t="s">
        <v>9664</v>
      </c>
      <c r="D1766" t="s">
        <v>3041</v>
      </c>
      <c r="E1766" t="s">
        <v>3042</v>
      </c>
      <c r="G1766" t="s">
        <v>9665</v>
      </c>
      <c r="H1766" t="s">
        <v>3043</v>
      </c>
      <c r="J1766" t="s">
        <v>9666</v>
      </c>
      <c r="L1766" t="s">
        <v>79</v>
      </c>
      <c r="M1766" t="s">
        <v>72</v>
      </c>
      <c r="R1766" t="s">
        <v>3044</v>
      </c>
      <c r="W1766" t="s">
        <v>3045</v>
      </c>
      <c r="X1766" t="s">
        <v>3046</v>
      </c>
      <c r="Y1766" t="s">
        <v>209</v>
      </c>
      <c r="Z1766" t="s">
        <v>73</v>
      </c>
      <c r="AA1766" t="str">
        <f>"14301-1028"</f>
        <v>14301-1028</v>
      </c>
      <c r="AB1766" t="s">
        <v>74</v>
      </c>
      <c r="AC1766" t="s">
        <v>75</v>
      </c>
      <c r="AD1766" t="s">
        <v>72</v>
      </c>
      <c r="AE1766" t="s">
        <v>76</v>
      </c>
      <c r="AF1766" t="s">
        <v>3974</v>
      </c>
      <c r="AG1766" t="s">
        <v>77</v>
      </c>
    </row>
    <row r="1767" spans="1:33" x14ac:dyDescent="0.25">
      <c r="A1767" t="str">
        <f>"1740293893"</f>
        <v>1740293893</v>
      </c>
      <c r="B1767" t="str">
        <f>"01074340"</f>
        <v>01074340</v>
      </c>
      <c r="C1767" t="s">
        <v>9667</v>
      </c>
      <c r="D1767" t="s">
        <v>1630</v>
      </c>
      <c r="E1767" t="s">
        <v>1631</v>
      </c>
      <c r="G1767" t="s">
        <v>9668</v>
      </c>
      <c r="H1767" t="s">
        <v>1632</v>
      </c>
      <c r="J1767" t="s">
        <v>9669</v>
      </c>
      <c r="L1767" t="s">
        <v>71</v>
      </c>
      <c r="M1767" t="s">
        <v>72</v>
      </c>
      <c r="R1767" t="s">
        <v>1633</v>
      </c>
      <c r="W1767" t="s">
        <v>1631</v>
      </c>
      <c r="X1767" t="s">
        <v>1634</v>
      </c>
      <c r="Y1767" t="s">
        <v>221</v>
      </c>
      <c r="Z1767" t="s">
        <v>73</v>
      </c>
      <c r="AA1767" t="str">
        <f>"14221-3625"</f>
        <v>14221-3625</v>
      </c>
      <c r="AB1767" t="s">
        <v>74</v>
      </c>
      <c r="AC1767" t="s">
        <v>75</v>
      </c>
      <c r="AD1767" t="s">
        <v>72</v>
      </c>
      <c r="AE1767" t="s">
        <v>76</v>
      </c>
      <c r="AF1767" t="s">
        <v>3974</v>
      </c>
      <c r="AG1767" t="s">
        <v>77</v>
      </c>
    </row>
    <row r="1768" spans="1:33" x14ac:dyDescent="0.25">
      <c r="A1768" t="str">
        <f>"1144286485"</f>
        <v>1144286485</v>
      </c>
      <c r="B1768" t="str">
        <f>"01656679"</f>
        <v>01656679</v>
      </c>
      <c r="C1768" t="s">
        <v>9670</v>
      </c>
      <c r="D1768" t="s">
        <v>9671</v>
      </c>
      <c r="E1768" t="s">
        <v>9672</v>
      </c>
      <c r="G1768" t="s">
        <v>9670</v>
      </c>
      <c r="H1768" t="s">
        <v>6466</v>
      </c>
      <c r="J1768" t="s">
        <v>9673</v>
      </c>
      <c r="L1768" t="s">
        <v>80</v>
      </c>
      <c r="M1768" t="s">
        <v>72</v>
      </c>
      <c r="R1768" t="s">
        <v>9674</v>
      </c>
      <c r="W1768" t="s">
        <v>9672</v>
      </c>
      <c r="X1768" t="s">
        <v>1768</v>
      </c>
      <c r="Y1768" t="s">
        <v>228</v>
      </c>
      <c r="Z1768" t="s">
        <v>73</v>
      </c>
      <c r="AA1768" t="str">
        <f>"14226-2500"</f>
        <v>14226-2500</v>
      </c>
      <c r="AB1768" t="s">
        <v>74</v>
      </c>
      <c r="AC1768" t="s">
        <v>75</v>
      </c>
      <c r="AD1768" t="s">
        <v>72</v>
      </c>
      <c r="AE1768" t="s">
        <v>76</v>
      </c>
      <c r="AG1768" t="s">
        <v>77</v>
      </c>
    </row>
    <row r="1769" spans="1:33" x14ac:dyDescent="0.25">
      <c r="A1769" t="str">
        <f>"1366769796"</f>
        <v>1366769796</v>
      </c>
      <c r="B1769" t="str">
        <f>"03658784"</f>
        <v>03658784</v>
      </c>
      <c r="C1769" t="s">
        <v>9675</v>
      </c>
      <c r="D1769" t="s">
        <v>2041</v>
      </c>
      <c r="E1769" t="s">
        <v>2042</v>
      </c>
      <c r="G1769" t="s">
        <v>9675</v>
      </c>
      <c r="H1769" t="s">
        <v>2557</v>
      </c>
      <c r="J1769" t="s">
        <v>9676</v>
      </c>
      <c r="L1769" t="s">
        <v>80</v>
      </c>
      <c r="M1769" t="s">
        <v>72</v>
      </c>
      <c r="R1769" t="s">
        <v>2043</v>
      </c>
      <c r="W1769" t="s">
        <v>2042</v>
      </c>
      <c r="X1769" t="s">
        <v>2044</v>
      </c>
      <c r="Y1769" t="s">
        <v>2045</v>
      </c>
      <c r="Z1769" t="s">
        <v>73</v>
      </c>
      <c r="AA1769" t="str">
        <f>"14219-2980"</f>
        <v>14219-2980</v>
      </c>
      <c r="AB1769" t="s">
        <v>74</v>
      </c>
      <c r="AC1769" t="s">
        <v>75</v>
      </c>
      <c r="AD1769" t="s">
        <v>72</v>
      </c>
      <c r="AE1769" t="s">
        <v>76</v>
      </c>
      <c r="AF1769" t="s">
        <v>4431</v>
      </c>
      <c r="AG1769" t="s">
        <v>77</v>
      </c>
    </row>
    <row r="1770" spans="1:33" x14ac:dyDescent="0.25">
      <c r="A1770" t="str">
        <f>"1790741247"</f>
        <v>1790741247</v>
      </c>
      <c r="B1770" t="str">
        <f>"02812802"</f>
        <v>02812802</v>
      </c>
      <c r="C1770" t="s">
        <v>9677</v>
      </c>
      <c r="D1770" t="s">
        <v>3513</v>
      </c>
      <c r="E1770" t="s">
        <v>3514</v>
      </c>
      <c r="L1770" t="s">
        <v>79</v>
      </c>
      <c r="M1770" t="s">
        <v>72</v>
      </c>
      <c r="R1770" t="s">
        <v>3515</v>
      </c>
      <c r="W1770" t="s">
        <v>3514</v>
      </c>
      <c r="X1770" t="s">
        <v>257</v>
      </c>
      <c r="Y1770" t="s">
        <v>117</v>
      </c>
      <c r="Z1770" t="s">
        <v>73</v>
      </c>
      <c r="AA1770" t="str">
        <f>"14215-3021"</f>
        <v>14215-3021</v>
      </c>
      <c r="AB1770" t="s">
        <v>74</v>
      </c>
      <c r="AC1770" t="s">
        <v>75</v>
      </c>
      <c r="AD1770" t="s">
        <v>72</v>
      </c>
      <c r="AE1770" t="s">
        <v>76</v>
      </c>
      <c r="AF1770" t="s">
        <v>4043</v>
      </c>
      <c r="AG1770" t="s">
        <v>77</v>
      </c>
    </row>
    <row r="1771" spans="1:33" x14ac:dyDescent="0.25">
      <c r="A1771" t="str">
        <f>"1679594485"</f>
        <v>1679594485</v>
      </c>
      <c r="B1771" t="str">
        <f>"02103395"</f>
        <v>02103395</v>
      </c>
      <c r="C1771" t="s">
        <v>9678</v>
      </c>
      <c r="D1771" t="s">
        <v>9679</v>
      </c>
      <c r="E1771" t="s">
        <v>9680</v>
      </c>
      <c r="L1771" t="s">
        <v>71</v>
      </c>
      <c r="M1771" t="s">
        <v>72</v>
      </c>
      <c r="R1771" t="s">
        <v>9681</v>
      </c>
      <c r="W1771" t="s">
        <v>9680</v>
      </c>
      <c r="X1771" t="s">
        <v>1332</v>
      </c>
      <c r="Y1771" t="s">
        <v>117</v>
      </c>
      <c r="Z1771" t="s">
        <v>73</v>
      </c>
      <c r="AA1771" t="str">
        <f>"14215-3021"</f>
        <v>14215-3021</v>
      </c>
      <c r="AB1771" t="s">
        <v>74</v>
      </c>
      <c r="AC1771" t="s">
        <v>75</v>
      </c>
      <c r="AD1771" t="s">
        <v>72</v>
      </c>
      <c r="AE1771" t="s">
        <v>76</v>
      </c>
      <c r="AF1771" t="s">
        <v>4043</v>
      </c>
      <c r="AG1771" t="s">
        <v>77</v>
      </c>
    </row>
    <row r="1772" spans="1:33" x14ac:dyDescent="0.25">
      <c r="A1772" t="str">
        <f>"1639168677"</f>
        <v>1639168677</v>
      </c>
      <c r="B1772" t="str">
        <f>"02556967"</f>
        <v>02556967</v>
      </c>
      <c r="C1772" t="s">
        <v>9682</v>
      </c>
      <c r="D1772" t="s">
        <v>9683</v>
      </c>
      <c r="E1772" t="s">
        <v>9684</v>
      </c>
      <c r="L1772" t="s">
        <v>79</v>
      </c>
      <c r="M1772" t="s">
        <v>72</v>
      </c>
      <c r="R1772" t="s">
        <v>9685</v>
      </c>
      <c r="W1772" t="s">
        <v>9684</v>
      </c>
      <c r="Y1772" t="s">
        <v>196</v>
      </c>
      <c r="Z1772" t="s">
        <v>73</v>
      </c>
      <c r="AA1772" t="str">
        <f>"13601-4034"</f>
        <v>13601-4034</v>
      </c>
      <c r="AB1772" t="s">
        <v>74</v>
      </c>
      <c r="AC1772" t="s">
        <v>75</v>
      </c>
      <c r="AD1772" t="s">
        <v>72</v>
      </c>
      <c r="AE1772" t="s">
        <v>76</v>
      </c>
      <c r="AF1772" t="s">
        <v>4043</v>
      </c>
      <c r="AG1772" t="s">
        <v>77</v>
      </c>
    </row>
    <row r="1773" spans="1:33" x14ac:dyDescent="0.25">
      <c r="A1773" t="str">
        <f>"1760565287"</f>
        <v>1760565287</v>
      </c>
      <c r="B1773" t="str">
        <f>"02758230"</f>
        <v>02758230</v>
      </c>
      <c r="C1773" t="s">
        <v>9686</v>
      </c>
      <c r="D1773" t="s">
        <v>2591</v>
      </c>
      <c r="E1773" t="s">
        <v>2592</v>
      </c>
      <c r="L1773" t="s">
        <v>71</v>
      </c>
      <c r="M1773" t="s">
        <v>72</v>
      </c>
      <c r="R1773" t="s">
        <v>2593</v>
      </c>
      <c r="W1773" t="s">
        <v>2592</v>
      </c>
      <c r="X1773" t="s">
        <v>173</v>
      </c>
      <c r="Y1773" t="s">
        <v>117</v>
      </c>
      <c r="Z1773" t="s">
        <v>73</v>
      </c>
      <c r="AA1773" t="str">
        <f>"14222-2006"</f>
        <v>14222-2006</v>
      </c>
      <c r="AB1773" t="s">
        <v>74</v>
      </c>
      <c r="AC1773" t="s">
        <v>75</v>
      </c>
      <c r="AD1773" t="s">
        <v>72</v>
      </c>
      <c r="AE1773" t="s">
        <v>76</v>
      </c>
      <c r="AF1773" t="s">
        <v>4043</v>
      </c>
      <c r="AG1773" t="s">
        <v>77</v>
      </c>
    </row>
    <row r="1774" spans="1:33" x14ac:dyDescent="0.25">
      <c r="A1774" t="str">
        <f>"1477745115"</f>
        <v>1477745115</v>
      </c>
      <c r="B1774" t="str">
        <f>"01734610"</f>
        <v>01734610</v>
      </c>
      <c r="C1774" t="s">
        <v>9687</v>
      </c>
      <c r="D1774" t="s">
        <v>2186</v>
      </c>
      <c r="E1774" t="s">
        <v>2187</v>
      </c>
      <c r="L1774" t="s">
        <v>71</v>
      </c>
      <c r="M1774" t="s">
        <v>72</v>
      </c>
      <c r="R1774" t="s">
        <v>2188</v>
      </c>
      <c r="W1774" t="s">
        <v>2187</v>
      </c>
      <c r="X1774" t="s">
        <v>204</v>
      </c>
      <c r="Y1774" t="s">
        <v>117</v>
      </c>
      <c r="Z1774" t="s">
        <v>73</v>
      </c>
      <c r="AA1774" t="str">
        <f>"14263-0001"</f>
        <v>14263-0001</v>
      </c>
      <c r="AB1774" t="s">
        <v>74</v>
      </c>
      <c r="AC1774" t="s">
        <v>75</v>
      </c>
      <c r="AD1774" t="s">
        <v>72</v>
      </c>
      <c r="AE1774" t="s">
        <v>76</v>
      </c>
      <c r="AF1774" t="s">
        <v>4043</v>
      </c>
      <c r="AG1774" t="s">
        <v>77</v>
      </c>
    </row>
    <row r="1775" spans="1:33" x14ac:dyDescent="0.25">
      <c r="A1775" t="str">
        <f>"1801852876"</f>
        <v>1801852876</v>
      </c>
      <c r="B1775" t="str">
        <f>"01195468"</f>
        <v>01195468</v>
      </c>
      <c r="C1775" t="s">
        <v>9688</v>
      </c>
      <c r="D1775" t="s">
        <v>3626</v>
      </c>
      <c r="E1775" t="s">
        <v>3627</v>
      </c>
      <c r="L1775" t="s">
        <v>79</v>
      </c>
      <c r="M1775" t="s">
        <v>72</v>
      </c>
      <c r="R1775" t="s">
        <v>3628</v>
      </c>
      <c r="W1775" t="s">
        <v>3629</v>
      </c>
      <c r="X1775" t="s">
        <v>1054</v>
      </c>
      <c r="Y1775" t="s">
        <v>326</v>
      </c>
      <c r="Z1775" t="s">
        <v>73</v>
      </c>
      <c r="AA1775" t="str">
        <f>"14127-1853"</f>
        <v>14127-1853</v>
      </c>
      <c r="AB1775" t="s">
        <v>74</v>
      </c>
      <c r="AC1775" t="s">
        <v>75</v>
      </c>
      <c r="AD1775" t="s">
        <v>72</v>
      </c>
      <c r="AE1775" t="s">
        <v>76</v>
      </c>
      <c r="AF1775" t="s">
        <v>4043</v>
      </c>
      <c r="AG1775" t="s">
        <v>77</v>
      </c>
    </row>
    <row r="1776" spans="1:33" x14ac:dyDescent="0.25">
      <c r="A1776" t="str">
        <f>"1134449424"</f>
        <v>1134449424</v>
      </c>
      <c r="B1776" t="str">
        <f>"03940058"</f>
        <v>03940058</v>
      </c>
      <c r="C1776" t="s">
        <v>9689</v>
      </c>
      <c r="D1776" t="s">
        <v>3693</v>
      </c>
      <c r="E1776" t="s">
        <v>3694</v>
      </c>
      <c r="L1776" t="s">
        <v>71</v>
      </c>
      <c r="M1776" t="s">
        <v>72</v>
      </c>
      <c r="R1776" t="s">
        <v>3695</v>
      </c>
      <c r="W1776" t="s">
        <v>3694</v>
      </c>
      <c r="X1776" t="s">
        <v>204</v>
      </c>
      <c r="Y1776" t="s">
        <v>117</v>
      </c>
      <c r="Z1776" t="s">
        <v>73</v>
      </c>
      <c r="AA1776" t="str">
        <f>"14263-0001"</f>
        <v>14263-0001</v>
      </c>
      <c r="AB1776" t="s">
        <v>74</v>
      </c>
      <c r="AC1776" t="s">
        <v>75</v>
      </c>
      <c r="AD1776" t="s">
        <v>72</v>
      </c>
      <c r="AE1776" t="s">
        <v>76</v>
      </c>
      <c r="AF1776" t="s">
        <v>4043</v>
      </c>
      <c r="AG1776" t="s">
        <v>77</v>
      </c>
    </row>
    <row r="1777" spans="1:33" x14ac:dyDescent="0.25">
      <c r="A1777" t="str">
        <f>"1457432346"</f>
        <v>1457432346</v>
      </c>
      <c r="B1777" t="str">
        <f>"03144763"</f>
        <v>03144763</v>
      </c>
      <c r="C1777" t="s">
        <v>9690</v>
      </c>
      <c r="D1777" t="s">
        <v>2039</v>
      </c>
      <c r="E1777" t="s">
        <v>2040</v>
      </c>
      <c r="L1777" t="s">
        <v>79</v>
      </c>
      <c r="M1777" t="s">
        <v>72</v>
      </c>
      <c r="R1777" t="s">
        <v>2040</v>
      </c>
      <c r="W1777" t="s">
        <v>2040</v>
      </c>
      <c r="X1777" t="s">
        <v>204</v>
      </c>
      <c r="Y1777" t="s">
        <v>117</v>
      </c>
      <c r="Z1777" t="s">
        <v>73</v>
      </c>
      <c r="AA1777" t="str">
        <f>"14263-0001"</f>
        <v>14263-0001</v>
      </c>
      <c r="AB1777" t="s">
        <v>74</v>
      </c>
      <c r="AC1777" t="s">
        <v>75</v>
      </c>
      <c r="AD1777" t="s">
        <v>72</v>
      </c>
      <c r="AE1777" t="s">
        <v>76</v>
      </c>
      <c r="AF1777" t="s">
        <v>4043</v>
      </c>
      <c r="AG1777" t="s">
        <v>77</v>
      </c>
    </row>
    <row r="1778" spans="1:33" x14ac:dyDescent="0.25">
      <c r="A1778" t="str">
        <f>"1235146879"</f>
        <v>1235146879</v>
      </c>
      <c r="B1778" t="str">
        <f>"03238319"</f>
        <v>03238319</v>
      </c>
      <c r="C1778" t="s">
        <v>9691</v>
      </c>
      <c r="D1778" t="s">
        <v>9692</v>
      </c>
      <c r="E1778" t="s">
        <v>9693</v>
      </c>
      <c r="L1778" t="s">
        <v>79</v>
      </c>
      <c r="M1778" t="s">
        <v>72</v>
      </c>
      <c r="R1778" t="s">
        <v>9694</v>
      </c>
      <c r="W1778" t="s">
        <v>9693</v>
      </c>
      <c r="X1778" t="s">
        <v>204</v>
      </c>
      <c r="Y1778" t="s">
        <v>117</v>
      </c>
      <c r="Z1778" t="s">
        <v>73</v>
      </c>
      <c r="AA1778" t="str">
        <f>"14263-0001"</f>
        <v>14263-0001</v>
      </c>
      <c r="AB1778" t="s">
        <v>74</v>
      </c>
      <c r="AC1778" t="s">
        <v>75</v>
      </c>
      <c r="AD1778" t="s">
        <v>72</v>
      </c>
      <c r="AE1778" t="s">
        <v>76</v>
      </c>
      <c r="AF1778" t="s">
        <v>4043</v>
      </c>
      <c r="AG1778" t="s">
        <v>77</v>
      </c>
    </row>
    <row r="1779" spans="1:33" x14ac:dyDescent="0.25">
      <c r="A1779" t="str">
        <f>"1316928468"</f>
        <v>1316928468</v>
      </c>
      <c r="B1779" t="str">
        <f>"01958272"</f>
        <v>01958272</v>
      </c>
      <c r="C1779" t="s">
        <v>9695</v>
      </c>
      <c r="D1779" t="s">
        <v>1938</v>
      </c>
      <c r="E1779" t="s">
        <v>1939</v>
      </c>
      <c r="L1779" t="s">
        <v>79</v>
      </c>
      <c r="M1779" t="s">
        <v>72</v>
      </c>
      <c r="R1779" t="s">
        <v>1939</v>
      </c>
      <c r="W1779" t="s">
        <v>1939</v>
      </c>
      <c r="X1779" t="s">
        <v>1940</v>
      </c>
      <c r="Y1779" t="s">
        <v>117</v>
      </c>
      <c r="Z1779" t="s">
        <v>73</v>
      </c>
      <c r="AA1779" t="str">
        <f>"14203-1126"</f>
        <v>14203-1126</v>
      </c>
      <c r="AB1779" t="s">
        <v>74</v>
      </c>
      <c r="AC1779" t="s">
        <v>75</v>
      </c>
      <c r="AD1779" t="s">
        <v>72</v>
      </c>
      <c r="AE1779" t="s">
        <v>76</v>
      </c>
      <c r="AF1779" t="s">
        <v>4043</v>
      </c>
      <c r="AG1779" t="s">
        <v>77</v>
      </c>
    </row>
    <row r="1780" spans="1:33" x14ac:dyDescent="0.25">
      <c r="A1780" t="str">
        <f>"1568662930"</f>
        <v>1568662930</v>
      </c>
      <c r="B1780" t="str">
        <f>"02891610"</f>
        <v>02891610</v>
      </c>
      <c r="C1780" t="s">
        <v>9696</v>
      </c>
      <c r="D1780" t="s">
        <v>1127</v>
      </c>
      <c r="E1780" t="s">
        <v>1128</v>
      </c>
      <c r="L1780" t="s">
        <v>79</v>
      </c>
      <c r="M1780" t="s">
        <v>72</v>
      </c>
      <c r="R1780" t="s">
        <v>1129</v>
      </c>
      <c r="W1780" t="s">
        <v>1128</v>
      </c>
      <c r="X1780" t="s">
        <v>204</v>
      </c>
      <c r="Y1780" t="s">
        <v>117</v>
      </c>
      <c r="Z1780" t="s">
        <v>73</v>
      </c>
      <c r="AA1780" t="str">
        <f>"14263-0001"</f>
        <v>14263-0001</v>
      </c>
      <c r="AB1780" t="s">
        <v>74</v>
      </c>
      <c r="AC1780" t="s">
        <v>75</v>
      </c>
      <c r="AD1780" t="s">
        <v>72</v>
      </c>
      <c r="AE1780" t="s">
        <v>76</v>
      </c>
      <c r="AF1780" t="s">
        <v>4043</v>
      </c>
      <c r="AG1780" t="s">
        <v>77</v>
      </c>
    </row>
    <row r="1781" spans="1:33" x14ac:dyDescent="0.25">
      <c r="A1781" t="str">
        <f>"1760421655"</f>
        <v>1760421655</v>
      </c>
      <c r="B1781" t="str">
        <f>"02360098"</f>
        <v>02360098</v>
      </c>
      <c r="C1781" t="s">
        <v>9697</v>
      </c>
      <c r="D1781" t="s">
        <v>9698</v>
      </c>
      <c r="E1781" t="s">
        <v>9699</v>
      </c>
      <c r="G1781" t="s">
        <v>9697</v>
      </c>
      <c r="H1781" t="s">
        <v>9700</v>
      </c>
      <c r="L1781" t="s">
        <v>79</v>
      </c>
      <c r="M1781" t="s">
        <v>81</v>
      </c>
      <c r="R1781" t="s">
        <v>9701</v>
      </c>
      <c r="W1781" t="s">
        <v>9699</v>
      </c>
      <c r="X1781" t="s">
        <v>9702</v>
      </c>
      <c r="Y1781" t="s">
        <v>242</v>
      </c>
      <c r="Z1781" t="s">
        <v>73</v>
      </c>
      <c r="AA1781" t="str">
        <f>"14701-7080"</f>
        <v>14701-7080</v>
      </c>
      <c r="AB1781" t="s">
        <v>74</v>
      </c>
      <c r="AC1781" t="s">
        <v>75</v>
      </c>
      <c r="AD1781" t="s">
        <v>72</v>
      </c>
      <c r="AE1781" t="s">
        <v>76</v>
      </c>
      <c r="AF1781" t="s">
        <v>4049</v>
      </c>
      <c r="AG1781" t="s">
        <v>77</v>
      </c>
    </row>
    <row r="1782" spans="1:33" x14ac:dyDescent="0.25">
      <c r="A1782" t="str">
        <f>"1740222850"</f>
        <v>1740222850</v>
      </c>
      <c r="B1782" t="str">
        <f>"00593779"</f>
        <v>00593779</v>
      </c>
      <c r="C1782" t="s">
        <v>9703</v>
      </c>
      <c r="D1782" t="s">
        <v>9704</v>
      </c>
      <c r="E1782" t="s">
        <v>9705</v>
      </c>
      <c r="G1782" t="s">
        <v>9703</v>
      </c>
      <c r="H1782" t="s">
        <v>9706</v>
      </c>
      <c r="L1782" t="s">
        <v>79</v>
      </c>
      <c r="M1782" t="s">
        <v>72</v>
      </c>
      <c r="R1782" t="s">
        <v>9707</v>
      </c>
      <c r="W1782" t="s">
        <v>9705</v>
      </c>
      <c r="X1782" t="s">
        <v>9348</v>
      </c>
      <c r="Y1782" t="s">
        <v>242</v>
      </c>
      <c r="Z1782" t="s">
        <v>73</v>
      </c>
      <c r="AA1782" t="str">
        <f>"14701-7079"</f>
        <v>14701-7079</v>
      </c>
      <c r="AB1782" t="s">
        <v>74</v>
      </c>
      <c r="AC1782" t="s">
        <v>75</v>
      </c>
      <c r="AD1782" t="s">
        <v>72</v>
      </c>
      <c r="AE1782" t="s">
        <v>76</v>
      </c>
      <c r="AF1782" t="s">
        <v>4049</v>
      </c>
      <c r="AG1782" t="s">
        <v>77</v>
      </c>
    </row>
    <row r="1783" spans="1:33" x14ac:dyDescent="0.25">
      <c r="A1783" t="str">
        <f>"1902849466"</f>
        <v>1902849466</v>
      </c>
      <c r="B1783" t="str">
        <f>"02157940"</f>
        <v>02157940</v>
      </c>
      <c r="C1783" t="s">
        <v>9708</v>
      </c>
      <c r="D1783" t="s">
        <v>9709</v>
      </c>
      <c r="E1783" t="s">
        <v>9710</v>
      </c>
      <c r="G1783" t="s">
        <v>9708</v>
      </c>
      <c r="H1783" t="s">
        <v>9711</v>
      </c>
      <c r="L1783" t="s">
        <v>79</v>
      </c>
      <c r="M1783" t="s">
        <v>72</v>
      </c>
      <c r="R1783" t="s">
        <v>9712</v>
      </c>
      <c r="W1783" t="s">
        <v>9710</v>
      </c>
      <c r="X1783" t="s">
        <v>9713</v>
      </c>
      <c r="Y1783" t="s">
        <v>242</v>
      </c>
      <c r="Z1783" t="s">
        <v>73</v>
      </c>
      <c r="AA1783" t="str">
        <f>"14701"</f>
        <v>14701</v>
      </c>
      <c r="AB1783" t="s">
        <v>74</v>
      </c>
      <c r="AC1783" t="s">
        <v>75</v>
      </c>
      <c r="AD1783" t="s">
        <v>72</v>
      </c>
      <c r="AE1783" t="s">
        <v>76</v>
      </c>
      <c r="AF1783" t="s">
        <v>4049</v>
      </c>
      <c r="AG1783" t="s">
        <v>77</v>
      </c>
    </row>
    <row r="1784" spans="1:33" x14ac:dyDescent="0.25">
      <c r="A1784" t="str">
        <f>"1972573277"</f>
        <v>1972573277</v>
      </c>
      <c r="B1784" t="str">
        <f>"03338612"</f>
        <v>03338612</v>
      </c>
      <c r="C1784" t="s">
        <v>9714</v>
      </c>
      <c r="D1784" t="s">
        <v>9715</v>
      </c>
      <c r="E1784" t="s">
        <v>9716</v>
      </c>
      <c r="G1784" t="s">
        <v>9714</v>
      </c>
      <c r="H1784" t="s">
        <v>9711</v>
      </c>
      <c r="L1784" t="s">
        <v>79</v>
      </c>
      <c r="M1784" t="s">
        <v>72</v>
      </c>
      <c r="R1784" t="s">
        <v>9717</v>
      </c>
      <c r="W1784" t="s">
        <v>9716</v>
      </c>
      <c r="X1784" t="s">
        <v>9718</v>
      </c>
      <c r="Y1784" t="s">
        <v>242</v>
      </c>
      <c r="Z1784" t="s">
        <v>73</v>
      </c>
      <c r="AA1784" t="str">
        <f>"14701-6627"</f>
        <v>14701-6627</v>
      </c>
      <c r="AB1784" t="s">
        <v>74</v>
      </c>
      <c r="AC1784" t="s">
        <v>75</v>
      </c>
      <c r="AD1784" t="s">
        <v>72</v>
      </c>
      <c r="AE1784" t="s">
        <v>76</v>
      </c>
      <c r="AF1784" t="s">
        <v>4049</v>
      </c>
      <c r="AG1784" t="s">
        <v>77</v>
      </c>
    </row>
    <row r="1785" spans="1:33" x14ac:dyDescent="0.25">
      <c r="C1785" t="s">
        <v>9719</v>
      </c>
      <c r="G1785" t="s">
        <v>9719</v>
      </c>
      <c r="K1785" t="s">
        <v>136</v>
      </c>
      <c r="L1785" t="s">
        <v>90</v>
      </c>
      <c r="M1785" t="s">
        <v>72</v>
      </c>
      <c r="AC1785" t="s">
        <v>75</v>
      </c>
      <c r="AD1785" t="s">
        <v>72</v>
      </c>
      <c r="AE1785" t="s">
        <v>91</v>
      </c>
      <c r="AG1785" t="s">
        <v>77</v>
      </c>
    </row>
    <row r="1786" spans="1:33" x14ac:dyDescent="0.25">
      <c r="A1786" t="str">
        <f>"1336391721"</f>
        <v>1336391721</v>
      </c>
      <c r="B1786" t="str">
        <f>"03267269"</f>
        <v>03267269</v>
      </c>
      <c r="C1786" t="s">
        <v>9720</v>
      </c>
      <c r="D1786" t="s">
        <v>9721</v>
      </c>
      <c r="E1786" t="s">
        <v>9722</v>
      </c>
      <c r="G1786" t="s">
        <v>9720</v>
      </c>
      <c r="H1786" t="s">
        <v>9723</v>
      </c>
      <c r="L1786" t="s">
        <v>80</v>
      </c>
      <c r="M1786" t="s">
        <v>72</v>
      </c>
      <c r="R1786" t="s">
        <v>9724</v>
      </c>
      <c r="W1786" t="s">
        <v>9725</v>
      </c>
      <c r="X1786" t="s">
        <v>9726</v>
      </c>
      <c r="Y1786" t="s">
        <v>242</v>
      </c>
      <c r="Z1786" t="s">
        <v>73</v>
      </c>
      <c r="AA1786" t="str">
        <f>"14701-6626"</f>
        <v>14701-6626</v>
      </c>
      <c r="AB1786" t="s">
        <v>74</v>
      </c>
      <c r="AC1786" t="s">
        <v>75</v>
      </c>
      <c r="AD1786" t="s">
        <v>72</v>
      </c>
      <c r="AE1786" t="s">
        <v>76</v>
      </c>
      <c r="AF1786" t="s">
        <v>4049</v>
      </c>
      <c r="AG1786" t="s">
        <v>77</v>
      </c>
    </row>
    <row r="1787" spans="1:33" x14ac:dyDescent="0.25">
      <c r="A1787" t="str">
        <f>"1104869015"</f>
        <v>1104869015</v>
      </c>
      <c r="B1787" t="str">
        <f>"01977320"</f>
        <v>01977320</v>
      </c>
      <c r="C1787" t="s">
        <v>9727</v>
      </c>
      <c r="D1787" t="s">
        <v>9728</v>
      </c>
      <c r="E1787" t="s">
        <v>9729</v>
      </c>
      <c r="G1787" t="s">
        <v>9727</v>
      </c>
      <c r="H1787" t="s">
        <v>9711</v>
      </c>
      <c r="L1787" t="s">
        <v>79</v>
      </c>
      <c r="M1787" t="s">
        <v>72</v>
      </c>
      <c r="R1787" t="s">
        <v>9730</v>
      </c>
      <c r="W1787" t="s">
        <v>9729</v>
      </c>
      <c r="X1787" t="s">
        <v>9731</v>
      </c>
      <c r="Y1787" t="s">
        <v>242</v>
      </c>
      <c r="Z1787" t="s">
        <v>73</v>
      </c>
      <c r="AA1787" t="str">
        <f>"14701-7081"</f>
        <v>14701-7081</v>
      </c>
      <c r="AB1787" t="s">
        <v>74</v>
      </c>
      <c r="AC1787" t="s">
        <v>75</v>
      </c>
      <c r="AD1787" t="s">
        <v>72</v>
      </c>
      <c r="AE1787" t="s">
        <v>76</v>
      </c>
      <c r="AF1787" t="s">
        <v>4049</v>
      </c>
      <c r="AG1787" t="s">
        <v>77</v>
      </c>
    </row>
    <row r="1788" spans="1:33" x14ac:dyDescent="0.25">
      <c r="A1788" t="str">
        <f>"1295777399"</f>
        <v>1295777399</v>
      </c>
      <c r="B1788" t="str">
        <f>"01444673"</f>
        <v>01444673</v>
      </c>
      <c r="C1788" t="s">
        <v>9732</v>
      </c>
      <c r="D1788" t="s">
        <v>9733</v>
      </c>
      <c r="E1788" t="s">
        <v>9734</v>
      </c>
      <c r="G1788" t="s">
        <v>9732</v>
      </c>
      <c r="H1788" t="s">
        <v>9735</v>
      </c>
      <c r="L1788" t="s">
        <v>79</v>
      </c>
      <c r="M1788" t="s">
        <v>72</v>
      </c>
      <c r="R1788" t="s">
        <v>9736</v>
      </c>
      <c r="W1788" t="s">
        <v>9737</v>
      </c>
      <c r="Y1788" t="s">
        <v>242</v>
      </c>
      <c r="Z1788" t="s">
        <v>73</v>
      </c>
      <c r="AA1788" t="str">
        <f>"14701-7096"</f>
        <v>14701-7096</v>
      </c>
      <c r="AB1788" t="s">
        <v>74</v>
      </c>
      <c r="AC1788" t="s">
        <v>75</v>
      </c>
      <c r="AD1788" t="s">
        <v>72</v>
      </c>
      <c r="AE1788" t="s">
        <v>76</v>
      </c>
      <c r="AF1788" t="s">
        <v>4049</v>
      </c>
      <c r="AG1788" t="s">
        <v>77</v>
      </c>
    </row>
    <row r="1789" spans="1:33" x14ac:dyDescent="0.25">
      <c r="A1789" t="str">
        <f>"1619017191"</f>
        <v>1619017191</v>
      </c>
      <c r="B1789" t="str">
        <f>"03382441"</f>
        <v>03382441</v>
      </c>
      <c r="C1789" t="s">
        <v>9738</v>
      </c>
      <c r="D1789" t="s">
        <v>9739</v>
      </c>
      <c r="E1789" t="s">
        <v>9740</v>
      </c>
      <c r="G1789" t="s">
        <v>9738</v>
      </c>
      <c r="H1789" t="s">
        <v>9700</v>
      </c>
      <c r="L1789" t="s">
        <v>79</v>
      </c>
      <c r="M1789" t="s">
        <v>72</v>
      </c>
      <c r="R1789" t="s">
        <v>9741</v>
      </c>
      <c r="W1789" t="s">
        <v>9740</v>
      </c>
      <c r="X1789" t="s">
        <v>305</v>
      </c>
      <c r="Y1789" t="s">
        <v>242</v>
      </c>
      <c r="Z1789" t="s">
        <v>73</v>
      </c>
      <c r="AA1789" t="str">
        <f>"14701-6626"</f>
        <v>14701-6626</v>
      </c>
      <c r="AB1789" t="s">
        <v>74</v>
      </c>
      <c r="AC1789" t="s">
        <v>75</v>
      </c>
      <c r="AD1789" t="s">
        <v>72</v>
      </c>
      <c r="AE1789" t="s">
        <v>76</v>
      </c>
      <c r="AF1789" t="s">
        <v>4049</v>
      </c>
      <c r="AG1789" t="s">
        <v>77</v>
      </c>
    </row>
    <row r="1790" spans="1:33" x14ac:dyDescent="0.25">
      <c r="A1790" t="str">
        <f>"1811284714"</f>
        <v>1811284714</v>
      </c>
      <c r="B1790" t="str">
        <f>"03374256"</f>
        <v>03374256</v>
      </c>
      <c r="C1790" t="s">
        <v>9742</v>
      </c>
      <c r="D1790" t="s">
        <v>9743</v>
      </c>
      <c r="E1790" t="s">
        <v>9744</v>
      </c>
      <c r="G1790" t="s">
        <v>9742</v>
      </c>
      <c r="H1790" t="s">
        <v>9745</v>
      </c>
      <c r="L1790" t="s">
        <v>80</v>
      </c>
      <c r="M1790" t="s">
        <v>72</v>
      </c>
      <c r="R1790" t="s">
        <v>9744</v>
      </c>
      <c r="W1790" t="s">
        <v>9744</v>
      </c>
      <c r="X1790" t="s">
        <v>3325</v>
      </c>
      <c r="Y1790" t="s">
        <v>242</v>
      </c>
      <c r="Z1790" t="s">
        <v>73</v>
      </c>
      <c r="AA1790" t="str">
        <f>"14701-6627"</f>
        <v>14701-6627</v>
      </c>
      <c r="AB1790" t="s">
        <v>74</v>
      </c>
      <c r="AC1790" t="s">
        <v>75</v>
      </c>
      <c r="AD1790" t="s">
        <v>72</v>
      </c>
      <c r="AE1790" t="s">
        <v>76</v>
      </c>
      <c r="AF1790" t="s">
        <v>4049</v>
      </c>
      <c r="AG1790" t="s">
        <v>77</v>
      </c>
    </row>
    <row r="1791" spans="1:33" x14ac:dyDescent="0.25">
      <c r="A1791" t="str">
        <f>"1427068782"</f>
        <v>1427068782</v>
      </c>
      <c r="B1791" t="str">
        <f>"02275670"</f>
        <v>02275670</v>
      </c>
      <c r="C1791" t="s">
        <v>9746</v>
      </c>
      <c r="D1791" t="s">
        <v>9747</v>
      </c>
      <c r="E1791" t="s">
        <v>9748</v>
      </c>
      <c r="G1791" t="s">
        <v>9746</v>
      </c>
      <c r="H1791" t="s">
        <v>9749</v>
      </c>
      <c r="L1791" t="s">
        <v>80</v>
      </c>
      <c r="M1791" t="s">
        <v>72</v>
      </c>
      <c r="R1791" t="s">
        <v>9750</v>
      </c>
      <c r="W1791" t="s">
        <v>9751</v>
      </c>
      <c r="X1791" t="s">
        <v>9752</v>
      </c>
      <c r="Y1791" t="s">
        <v>242</v>
      </c>
      <c r="Z1791" t="s">
        <v>73</v>
      </c>
      <c r="AA1791" t="str">
        <f>"14701-6627"</f>
        <v>14701-6627</v>
      </c>
      <c r="AB1791" t="s">
        <v>74</v>
      </c>
      <c r="AC1791" t="s">
        <v>75</v>
      </c>
      <c r="AD1791" t="s">
        <v>72</v>
      </c>
      <c r="AE1791" t="s">
        <v>76</v>
      </c>
      <c r="AF1791" t="s">
        <v>4049</v>
      </c>
      <c r="AG1791" t="s">
        <v>77</v>
      </c>
    </row>
    <row r="1792" spans="1:33" x14ac:dyDescent="0.25">
      <c r="A1792" t="str">
        <f>"1861436719"</f>
        <v>1861436719</v>
      </c>
      <c r="B1792" t="str">
        <f>"00721926"</f>
        <v>00721926</v>
      </c>
      <c r="C1792" t="s">
        <v>9753</v>
      </c>
      <c r="D1792" t="s">
        <v>9754</v>
      </c>
      <c r="E1792" t="s">
        <v>9755</v>
      </c>
      <c r="G1792" t="s">
        <v>9753</v>
      </c>
      <c r="H1792" t="s">
        <v>9756</v>
      </c>
      <c r="L1792" t="s">
        <v>80</v>
      </c>
      <c r="M1792" t="s">
        <v>72</v>
      </c>
      <c r="R1792" t="s">
        <v>9757</v>
      </c>
      <c r="W1792" t="s">
        <v>9755</v>
      </c>
      <c r="Y1792" t="s">
        <v>242</v>
      </c>
      <c r="Z1792" t="s">
        <v>73</v>
      </c>
      <c r="AA1792" t="str">
        <f>"14701-7096"</f>
        <v>14701-7096</v>
      </c>
      <c r="AB1792" t="s">
        <v>74</v>
      </c>
      <c r="AC1792" t="s">
        <v>75</v>
      </c>
      <c r="AD1792" t="s">
        <v>72</v>
      </c>
      <c r="AE1792" t="s">
        <v>76</v>
      </c>
      <c r="AF1792" t="s">
        <v>4049</v>
      </c>
      <c r="AG1792" t="s">
        <v>77</v>
      </c>
    </row>
    <row r="1793" spans="1:33" x14ac:dyDescent="0.25">
      <c r="A1793" t="str">
        <f>"1649213091"</f>
        <v>1649213091</v>
      </c>
      <c r="B1793" t="str">
        <f>"02654231"</f>
        <v>02654231</v>
      </c>
      <c r="C1793" t="s">
        <v>9758</v>
      </c>
      <c r="D1793" t="s">
        <v>9759</v>
      </c>
      <c r="E1793" t="s">
        <v>9760</v>
      </c>
      <c r="G1793" t="s">
        <v>9758</v>
      </c>
      <c r="H1793" t="s">
        <v>9756</v>
      </c>
      <c r="L1793" t="s">
        <v>80</v>
      </c>
      <c r="M1793" t="s">
        <v>72</v>
      </c>
      <c r="R1793" t="s">
        <v>9761</v>
      </c>
      <c r="W1793" t="s">
        <v>9760</v>
      </c>
      <c r="X1793" t="s">
        <v>7989</v>
      </c>
      <c r="Y1793" t="s">
        <v>242</v>
      </c>
      <c r="Z1793" t="s">
        <v>73</v>
      </c>
      <c r="AA1793" t="str">
        <f>"14701-7080"</f>
        <v>14701-7080</v>
      </c>
      <c r="AB1793" t="s">
        <v>74</v>
      </c>
      <c r="AC1793" t="s">
        <v>75</v>
      </c>
      <c r="AD1793" t="s">
        <v>72</v>
      </c>
      <c r="AE1793" t="s">
        <v>76</v>
      </c>
      <c r="AF1793" t="s">
        <v>4049</v>
      </c>
      <c r="AG1793" t="s">
        <v>77</v>
      </c>
    </row>
    <row r="1794" spans="1:33" x14ac:dyDescent="0.25">
      <c r="A1794" t="str">
        <f>"1487683769"</f>
        <v>1487683769</v>
      </c>
      <c r="B1794" t="str">
        <f>"02223765"</f>
        <v>02223765</v>
      </c>
      <c r="C1794" t="s">
        <v>9762</v>
      </c>
      <c r="D1794" t="s">
        <v>9763</v>
      </c>
      <c r="E1794" t="s">
        <v>9764</v>
      </c>
      <c r="G1794" t="s">
        <v>9762</v>
      </c>
      <c r="H1794" t="s">
        <v>9336</v>
      </c>
      <c r="L1794" t="s">
        <v>79</v>
      </c>
      <c r="M1794" t="s">
        <v>72</v>
      </c>
      <c r="R1794" t="s">
        <v>9765</v>
      </c>
      <c r="W1794" t="s">
        <v>9766</v>
      </c>
      <c r="X1794" t="s">
        <v>9343</v>
      </c>
      <c r="Y1794" t="s">
        <v>242</v>
      </c>
      <c r="Z1794" t="s">
        <v>73</v>
      </c>
      <c r="AA1794" t="str">
        <f>"14701-7081"</f>
        <v>14701-7081</v>
      </c>
      <c r="AB1794" t="s">
        <v>74</v>
      </c>
      <c r="AC1794" t="s">
        <v>75</v>
      </c>
      <c r="AD1794" t="s">
        <v>72</v>
      </c>
      <c r="AE1794" t="s">
        <v>76</v>
      </c>
      <c r="AF1794" t="s">
        <v>4049</v>
      </c>
      <c r="AG1794" t="s">
        <v>77</v>
      </c>
    </row>
    <row r="1795" spans="1:33" x14ac:dyDescent="0.25">
      <c r="A1795" t="str">
        <f>"1801892708"</f>
        <v>1801892708</v>
      </c>
      <c r="B1795" t="str">
        <f>"01950834"</f>
        <v>01950834</v>
      </c>
      <c r="C1795" t="s">
        <v>9767</v>
      </c>
      <c r="D1795" t="s">
        <v>9768</v>
      </c>
      <c r="E1795" t="s">
        <v>9769</v>
      </c>
      <c r="G1795" t="s">
        <v>9767</v>
      </c>
      <c r="H1795" t="s">
        <v>9770</v>
      </c>
      <c r="L1795" t="s">
        <v>80</v>
      </c>
      <c r="M1795" t="s">
        <v>72</v>
      </c>
      <c r="R1795" t="s">
        <v>9771</v>
      </c>
      <c r="W1795" t="s">
        <v>9769</v>
      </c>
      <c r="X1795" t="s">
        <v>7989</v>
      </c>
      <c r="Y1795" t="s">
        <v>242</v>
      </c>
      <c r="Z1795" t="s">
        <v>73</v>
      </c>
      <c r="AA1795" t="str">
        <f>"14701-7080"</f>
        <v>14701-7080</v>
      </c>
      <c r="AB1795" t="s">
        <v>74</v>
      </c>
      <c r="AC1795" t="s">
        <v>75</v>
      </c>
      <c r="AD1795" t="s">
        <v>72</v>
      </c>
      <c r="AE1795" t="s">
        <v>76</v>
      </c>
      <c r="AF1795" t="s">
        <v>4049</v>
      </c>
      <c r="AG1795" t="s">
        <v>77</v>
      </c>
    </row>
    <row r="1796" spans="1:33" x14ac:dyDescent="0.25">
      <c r="C1796" t="s">
        <v>9772</v>
      </c>
      <c r="G1796" t="s">
        <v>9772</v>
      </c>
      <c r="K1796" t="s">
        <v>136</v>
      </c>
      <c r="L1796" t="s">
        <v>90</v>
      </c>
      <c r="M1796" t="s">
        <v>72</v>
      </c>
      <c r="AC1796" t="s">
        <v>75</v>
      </c>
      <c r="AD1796" t="s">
        <v>72</v>
      </c>
      <c r="AE1796" t="s">
        <v>91</v>
      </c>
      <c r="AF1796" t="s">
        <v>4049</v>
      </c>
      <c r="AG1796" t="s">
        <v>77</v>
      </c>
    </row>
    <row r="1797" spans="1:33" x14ac:dyDescent="0.25">
      <c r="A1797" t="str">
        <f>"1053354035"</f>
        <v>1053354035</v>
      </c>
      <c r="B1797" t="str">
        <f>"02556958"</f>
        <v>02556958</v>
      </c>
      <c r="C1797" t="s">
        <v>9773</v>
      </c>
      <c r="D1797" t="s">
        <v>9774</v>
      </c>
      <c r="E1797" t="s">
        <v>9775</v>
      </c>
      <c r="G1797" t="s">
        <v>9773</v>
      </c>
      <c r="H1797" t="s">
        <v>9776</v>
      </c>
      <c r="L1797" t="s">
        <v>79</v>
      </c>
      <c r="M1797" t="s">
        <v>72</v>
      </c>
      <c r="R1797" t="s">
        <v>9777</v>
      </c>
      <c r="W1797" t="s">
        <v>9778</v>
      </c>
      <c r="X1797" t="s">
        <v>9348</v>
      </c>
      <c r="Y1797" t="s">
        <v>242</v>
      </c>
      <c r="Z1797" t="s">
        <v>73</v>
      </c>
      <c r="AA1797" t="str">
        <f>"14701-7083"</f>
        <v>14701-7083</v>
      </c>
      <c r="AB1797" t="s">
        <v>74</v>
      </c>
      <c r="AC1797" t="s">
        <v>75</v>
      </c>
      <c r="AD1797" t="s">
        <v>72</v>
      </c>
      <c r="AE1797" t="s">
        <v>76</v>
      </c>
      <c r="AF1797" t="s">
        <v>7966</v>
      </c>
      <c r="AG1797" t="s">
        <v>77</v>
      </c>
    </row>
    <row r="1798" spans="1:33" x14ac:dyDescent="0.25">
      <c r="A1798" t="str">
        <f>"1124089818"</f>
        <v>1124089818</v>
      </c>
      <c r="B1798" t="str">
        <f>"01746794"</f>
        <v>01746794</v>
      </c>
      <c r="C1798" t="s">
        <v>9779</v>
      </c>
      <c r="D1798" t="s">
        <v>9780</v>
      </c>
      <c r="E1798" t="s">
        <v>9781</v>
      </c>
      <c r="G1798" t="s">
        <v>9779</v>
      </c>
      <c r="H1798" t="s">
        <v>9782</v>
      </c>
      <c r="L1798" t="s">
        <v>79</v>
      </c>
      <c r="M1798" t="s">
        <v>72</v>
      </c>
      <c r="R1798" t="s">
        <v>9783</v>
      </c>
      <c r="W1798" t="s">
        <v>9781</v>
      </c>
      <c r="X1798" t="s">
        <v>9784</v>
      </c>
      <c r="Y1798" t="s">
        <v>242</v>
      </c>
      <c r="Z1798" t="s">
        <v>73</v>
      </c>
      <c r="AA1798" t="str">
        <f>"14701-6800"</f>
        <v>14701-6800</v>
      </c>
      <c r="AB1798" t="s">
        <v>74</v>
      </c>
      <c r="AC1798" t="s">
        <v>75</v>
      </c>
      <c r="AD1798" t="s">
        <v>72</v>
      </c>
      <c r="AE1798" t="s">
        <v>76</v>
      </c>
      <c r="AF1798" t="s">
        <v>7966</v>
      </c>
      <c r="AG1798" t="s">
        <v>77</v>
      </c>
    </row>
    <row r="1799" spans="1:33" x14ac:dyDescent="0.25">
      <c r="A1799" t="str">
        <f>"1376504068"</f>
        <v>1376504068</v>
      </c>
      <c r="B1799" t="str">
        <f>"00623143"</f>
        <v>00623143</v>
      </c>
      <c r="C1799" t="s">
        <v>9785</v>
      </c>
      <c r="D1799" t="s">
        <v>9786</v>
      </c>
      <c r="E1799" t="s">
        <v>9787</v>
      </c>
      <c r="G1799" t="s">
        <v>9785</v>
      </c>
      <c r="H1799" t="s">
        <v>9782</v>
      </c>
      <c r="L1799" t="s">
        <v>79</v>
      </c>
      <c r="M1799" t="s">
        <v>72</v>
      </c>
      <c r="R1799" t="s">
        <v>9788</v>
      </c>
      <c r="W1799" t="s">
        <v>9787</v>
      </c>
      <c r="X1799" t="s">
        <v>9784</v>
      </c>
      <c r="Y1799" t="s">
        <v>242</v>
      </c>
      <c r="Z1799" t="s">
        <v>73</v>
      </c>
      <c r="AA1799" t="str">
        <f>"14701-6800"</f>
        <v>14701-6800</v>
      </c>
      <c r="AB1799" t="s">
        <v>74</v>
      </c>
      <c r="AC1799" t="s">
        <v>75</v>
      </c>
      <c r="AD1799" t="s">
        <v>72</v>
      </c>
      <c r="AE1799" t="s">
        <v>76</v>
      </c>
      <c r="AF1799" t="s">
        <v>7966</v>
      </c>
      <c r="AG1799" t="s">
        <v>77</v>
      </c>
    </row>
    <row r="1800" spans="1:33" x14ac:dyDescent="0.25">
      <c r="A1800" t="str">
        <f>"1801857552"</f>
        <v>1801857552</v>
      </c>
      <c r="B1800" t="str">
        <f>"01910907"</f>
        <v>01910907</v>
      </c>
      <c r="C1800" t="s">
        <v>9789</v>
      </c>
      <c r="D1800" t="s">
        <v>9790</v>
      </c>
      <c r="E1800" t="s">
        <v>9791</v>
      </c>
      <c r="G1800" t="s">
        <v>9789</v>
      </c>
      <c r="H1800" t="s">
        <v>9782</v>
      </c>
      <c r="L1800" t="s">
        <v>79</v>
      </c>
      <c r="M1800" t="s">
        <v>72</v>
      </c>
      <c r="R1800" t="s">
        <v>9792</v>
      </c>
      <c r="W1800" t="s">
        <v>9791</v>
      </c>
      <c r="X1800" t="s">
        <v>9784</v>
      </c>
      <c r="Y1800" t="s">
        <v>242</v>
      </c>
      <c r="Z1800" t="s">
        <v>73</v>
      </c>
      <c r="AA1800" t="str">
        <f>"14701-6800"</f>
        <v>14701-6800</v>
      </c>
      <c r="AB1800" t="s">
        <v>74</v>
      </c>
      <c r="AC1800" t="s">
        <v>75</v>
      </c>
      <c r="AD1800" t="s">
        <v>72</v>
      </c>
      <c r="AE1800" t="s">
        <v>76</v>
      </c>
      <c r="AF1800" t="s">
        <v>7966</v>
      </c>
      <c r="AG1800" t="s">
        <v>77</v>
      </c>
    </row>
    <row r="1801" spans="1:33" x14ac:dyDescent="0.25">
      <c r="A1801" t="str">
        <f>"1831158435"</f>
        <v>1831158435</v>
      </c>
      <c r="B1801" t="str">
        <f>"00588610"</f>
        <v>00588610</v>
      </c>
      <c r="C1801" t="s">
        <v>9793</v>
      </c>
      <c r="D1801" t="s">
        <v>957</v>
      </c>
      <c r="E1801" t="s">
        <v>958</v>
      </c>
      <c r="G1801" t="s">
        <v>6558</v>
      </c>
      <c r="H1801" t="s">
        <v>959</v>
      </c>
      <c r="J1801" t="s">
        <v>6559</v>
      </c>
      <c r="L1801" t="s">
        <v>79</v>
      </c>
      <c r="M1801" t="s">
        <v>72</v>
      </c>
      <c r="R1801" t="s">
        <v>960</v>
      </c>
      <c r="W1801" t="s">
        <v>958</v>
      </c>
      <c r="X1801" t="s">
        <v>961</v>
      </c>
      <c r="Y1801" t="s">
        <v>117</v>
      </c>
      <c r="Z1801" t="s">
        <v>73</v>
      </c>
      <c r="AA1801" t="str">
        <f>"14203"</f>
        <v>14203</v>
      </c>
      <c r="AB1801" t="s">
        <v>113</v>
      </c>
      <c r="AC1801" t="s">
        <v>75</v>
      </c>
      <c r="AD1801" t="s">
        <v>72</v>
      </c>
      <c r="AE1801" t="s">
        <v>76</v>
      </c>
      <c r="AG1801" t="s">
        <v>77</v>
      </c>
    </row>
    <row r="1802" spans="1:33" x14ac:dyDescent="0.25">
      <c r="A1802" t="str">
        <f>"1851387419"</f>
        <v>1851387419</v>
      </c>
      <c r="B1802" t="str">
        <f>"01380703"</f>
        <v>01380703</v>
      </c>
      <c r="C1802" t="s">
        <v>9794</v>
      </c>
      <c r="D1802" t="s">
        <v>1363</v>
      </c>
      <c r="E1802" t="s">
        <v>1364</v>
      </c>
      <c r="G1802" t="s">
        <v>6088</v>
      </c>
      <c r="H1802" t="s">
        <v>623</v>
      </c>
      <c r="J1802" t="s">
        <v>6089</v>
      </c>
      <c r="L1802" t="s">
        <v>79</v>
      </c>
      <c r="M1802" t="s">
        <v>72</v>
      </c>
      <c r="R1802" t="s">
        <v>1365</v>
      </c>
      <c r="W1802" t="s">
        <v>1364</v>
      </c>
      <c r="X1802" t="s">
        <v>234</v>
      </c>
      <c r="Y1802" t="s">
        <v>117</v>
      </c>
      <c r="Z1802" t="s">
        <v>73</v>
      </c>
      <c r="AA1802" t="str">
        <f>"14220-2039"</f>
        <v>14220-2039</v>
      </c>
      <c r="AB1802" t="s">
        <v>74</v>
      </c>
      <c r="AC1802" t="s">
        <v>75</v>
      </c>
      <c r="AD1802" t="s">
        <v>72</v>
      </c>
      <c r="AE1802" t="s">
        <v>76</v>
      </c>
      <c r="AF1802" t="s">
        <v>3974</v>
      </c>
      <c r="AG1802" t="s">
        <v>77</v>
      </c>
    </row>
    <row r="1803" spans="1:33" x14ac:dyDescent="0.25">
      <c r="A1803" t="str">
        <f>"1255357851"</f>
        <v>1255357851</v>
      </c>
      <c r="B1803" t="str">
        <f>"02504832"</f>
        <v>02504832</v>
      </c>
      <c r="C1803" t="s">
        <v>9795</v>
      </c>
      <c r="D1803" t="s">
        <v>9796</v>
      </c>
      <c r="E1803" t="s">
        <v>9797</v>
      </c>
      <c r="G1803" t="s">
        <v>9795</v>
      </c>
      <c r="H1803" t="s">
        <v>3357</v>
      </c>
      <c r="L1803" t="s">
        <v>79</v>
      </c>
      <c r="M1803" t="s">
        <v>72</v>
      </c>
      <c r="R1803" t="s">
        <v>9798</v>
      </c>
      <c r="W1803" t="s">
        <v>9797</v>
      </c>
      <c r="X1803" t="s">
        <v>301</v>
      </c>
      <c r="Y1803" t="s">
        <v>117</v>
      </c>
      <c r="Z1803" t="s">
        <v>73</v>
      </c>
      <c r="AA1803" t="str">
        <f>"14214-2648"</f>
        <v>14214-2648</v>
      </c>
      <c r="AB1803" t="s">
        <v>74</v>
      </c>
      <c r="AC1803" t="s">
        <v>75</v>
      </c>
      <c r="AD1803" t="s">
        <v>72</v>
      </c>
      <c r="AE1803" t="s">
        <v>76</v>
      </c>
      <c r="AF1803" t="s">
        <v>4043</v>
      </c>
      <c r="AG1803" t="s">
        <v>77</v>
      </c>
    </row>
    <row r="1804" spans="1:33" x14ac:dyDescent="0.25">
      <c r="A1804" t="str">
        <f>"1285603548"</f>
        <v>1285603548</v>
      </c>
      <c r="B1804" t="str">
        <f>"02311080"</f>
        <v>02311080</v>
      </c>
      <c r="C1804" t="s">
        <v>9799</v>
      </c>
      <c r="D1804" t="s">
        <v>9800</v>
      </c>
      <c r="E1804" t="s">
        <v>9801</v>
      </c>
      <c r="G1804" t="s">
        <v>4797</v>
      </c>
      <c r="H1804" t="s">
        <v>4798</v>
      </c>
      <c r="I1804">
        <v>104</v>
      </c>
      <c r="J1804" t="s">
        <v>4799</v>
      </c>
      <c r="L1804" t="s">
        <v>79</v>
      </c>
      <c r="M1804" t="s">
        <v>72</v>
      </c>
      <c r="R1804" t="s">
        <v>9802</v>
      </c>
      <c r="W1804" t="s">
        <v>9801</v>
      </c>
      <c r="X1804" t="s">
        <v>6217</v>
      </c>
      <c r="Y1804" t="s">
        <v>408</v>
      </c>
      <c r="Z1804" t="s">
        <v>73</v>
      </c>
      <c r="AA1804" t="str">
        <f>"14757-1017"</f>
        <v>14757-1017</v>
      </c>
      <c r="AB1804" t="s">
        <v>74</v>
      </c>
      <c r="AC1804" t="s">
        <v>75</v>
      </c>
      <c r="AD1804" t="s">
        <v>72</v>
      </c>
      <c r="AE1804" t="s">
        <v>76</v>
      </c>
      <c r="AF1804" t="s">
        <v>4049</v>
      </c>
      <c r="AG1804" t="s">
        <v>77</v>
      </c>
    </row>
    <row r="1805" spans="1:33" x14ac:dyDescent="0.25">
      <c r="A1805" t="str">
        <f>"1326247594"</f>
        <v>1326247594</v>
      </c>
      <c r="B1805" t="str">
        <f>"03398161"</f>
        <v>03398161</v>
      </c>
      <c r="C1805" t="s">
        <v>9803</v>
      </c>
      <c r="D1805" t="s">
        <v>2252</v>
      </c>
      <c r="E1805" t="s">
        <v>2253</v>
      </c>
      <c r="G1805" t="s">
        <v>5085</v>
      </c>
      <c r="H1805" t="s">
        <v>789</v>
      </c>
      <c r="J1805" t="s">
        <v>4888</v>
      </c>
      <c r="L1805" t="s">
        <v>79</v>
      </c>
      <c r="M1805" t="s">
        <v>72</v>
      </c>
      <c r="R1805" t="s">
        <v>2254</v>
      </c>
      <c r="W1805" t="s">
        <v>2253</v>
      </c>
      <c r="X1805" t="s">
        <v>1900</v>
      </c>
      <c r="Y1805" t="s">
        <v>228</v>
      </c>
      <c r="Z1805" t="s">
        <v>73</v>
      </c>
      <c r="AA1805" t="str">
        <f>"14226-1746"</f>
        <v>14226-1746</v>
      </c>
      <c r="AB1805" t="s">
        <v>74</v>
      </c>
      <c r="AC1805" t="s">
        <v>75</v>
      </c>
      <c r="AD1805" t="s">
        <v>72</v>
      </c>
      <c r="AE1805" t="s">
        <v>76</v>
      </c>
      <c r="AF1805" t="s">
        <v>3974</v>
      </c>
      <c r="AG1805" t="s">
        <v>77</v>
      </c>
    </row>
    <row r="1806" spans="1:33" x14ac:dyDescent="0.25">
      <c r="A1806" t="str">
        <f>"1194780692"</f>
        <v>1194780692</v>
      </c>
      <c r="B1806" t="str">
        <f>"01420488"</f>
        <v>01420488</v>
      </c>
      <c r="C1806" t="s">
        <v>9804</v>
      </c>
      <c r="D1806" t="s">
        <v>9805</v>
      </c>
      <c r="E1806" t="s">
        <v>9806</v>
      </c>
      <c r="G1806" t="s">
        <v>9807</v>
      </c>
      <c r="H1806" t="s">
        <v>9808</v>
      </c>
      <c r="J1806" t="s">
        <v>9809</v>
      </c>
      <c r="L1806" t="s">
        <v>71</v>
      </c>
      <c r="M1806" t="s">
        <v>72</v>
      </c>
      <c r="R1806" t="s">
        <v>9810</v>
      </c>
      <c r="W1806" t="s">
        <v>9806</v>
      </c>
      <c r="X1806" t="s">
        <v>446</v>
      </c>
      <c r="Y1806" t="s">
        <v>117</v>
      </c>
      <c r="Z1806" t="s">
        <v>73</v>
      </c>
      <c r="AA1806" t="str">
        <f>"14209-1194"</f>
        <v>14209-1194</v>
      </c>
      <c r="AB1806" t="s">
        <v>74</v>
      </c>
      <c r="AC1806" t="s">
        <v>75</v>
      </c>
      <c r="AD1806" t="s">
        <v>72</v>
      </c>
      <c r="AE1806" t="s">
        <v>76</v>
      </c>
      <c r="AF1806" t="s">
        <v>3974</v>
      </c>
      <c r="AG1806" t="s">
        <v>77</v>
      </c>
    </row>
    <row r="1807" spans="1:33" x14ac:dyDescent="0.25">
      <c r="A1807" t="str">
        <f>"1902906100"</f>
        <v>1902906100</v>
      </c>
      <c r="C1807" t="s">
        <v>9811</v>
      </c>
      <c r="G1807" t="s">
        <v>9812</v>
      </c>
      <c r="H1807" t="s">
        <v>9813</v>
      </c>
      <c r="J1807" t="s">
        <v>9814</v>
      </c>
      <c r="K1807" t="s">
        <v>89</v>
      </c>
      <c r="L1807" t="s">
        <v>92</v>
      </c>
      <c r="M1807" t="s">
        <v>72</v>
      </c>
      <c r="R1807" t="s">
        <v>9815</v>
      </c>
      <c r="S1807" t="s">
        <v>3683</v>
      </c>
      <c r="T1807" t="s">
        <v>242</v>
      </c>
      <c r="U1807" t="s">
        <v>73</v>
      </c>
      <c r="V1807" t="str">
        <f>"147011935"</f>
        <v>147011935</v>
      </c>
      <c r="AC1807" t="s">
        <v>75</v>
      </c>
      <c r="AD1807" t="s">
        <v>72</v>
      </c>
      <c r="AE1807" t="s">
        <v>93</v>
      </c>
      <c r="AF1807" t="s">
        <v>4078</v>
      </c>
      <c r="AG1807" t="s">
        <v>77</v>
      </c>
    </row>
    <row r="1808" spans="1:33" x14ac:dyDescent="0.25">
      <c r="A1808" t="str">
        <f>"1023206646"</f>
        <v>1023206646</v>
      </c>
      <c r="B1808" t="str">
        <f>"00356547"</f>
        <v>00356547</v>
      </c>
      <c r="C1808" t="s">
        <v>9816</v>
      </c>
      <c r="D1808" t="s">
        <v>9817</v>
      </c>
      <c r="E1808" t="s">
        <v>9818</v>
      </c>
      <c r="G1808" t="s">
        <v>9812</v>
      </c>
      <c r="H1808" t="s">
        <v>9813</v>
      </c>
      <c r="J1808" t="s">
        <v>9814</v>
      </c>
      <c r="L1808" t="s">
        <v>92</v>
      </c>
      <c r="M1808" t="s">
        <v>81</v>
      </c>
      <c r="R1808" t="s">
        <v>9816</v>
      </c>
      <c r="W1808" t="s">
        <v>9818</v>
      </c>
      <c r="X1808" t="s">
        <v>9819</v>
      </c>
      <c r="Y1808" t="s">
        <v>242</v>
      </c>
      <c r="Z1808" t="s">
        <v>73</v>
      </c>
      <c r="AA1808" t="str">
        <f>"14701-1935"</f>
        <v>14701-1935</v>
      </c>
      <c r="AB1808" t="s">
        <v>116</v>
      </c>
      <c r="AC1808" t="s">
        <v>75</v>
      </c>
      <c r="AD1808" t="s">
        <v>72</v>
      </c>
      <c r="AE1808" t="s">
        <v>76</v>
      </c>
      <c r="AF1808" t="s">
        <v>4078</v>
      </c>
      <c r="AG1808" t="s">
        <v>77</v>
      </c>
    </row>
    <row r="1809" spans="1:33" x14ac:dyDescent="0.25">
      <c r="A1809" t="str">
        <f>"1386600765"</f>
        <v>1386600765</v>
      </c>
      <c r="B1809" t="str">
        <f>"01051481"</f>
        <v>01051481</v>
      </c>
      <c r="C1809" t="s">
        <v>9820</v>
      </c>
      <c r="D1809" t="s">
        <v>9821</v>
      </c>
      <c r="E1809" t="s">
        <v>9822</v>
      </c>
      <c r="G1809" t="s">
        <v>7005</v>
      </c>
      <c r="H1809" t="s">
        <v>2771</v>
      </c>
      <c r="J1809" t="s">
        <v>7006</v>
      </c>
      <c r="L1809" t="s">
        <v>80</v>
      </c>
      <c r="M1809" t="s">
        <v>72</v>
      </c>
      <c r="R1809" t="s">
        <v>9823</v>
      </c>
      <c r="W1809" t="s">
        <v>9822</v>
      </c>
      <c r="X1809" t="s">
        <v>3658</v>
      </c>
      <c r="Y1809" t="s">
        <v>247</v>
      </c>
      <c r="Z1809" t="s">
        <v>73</v>
      </c>
      <c r="AA1809" t="str">
        <f>"14225-4031"</f>
        <v>14225-4031</v>
      </c>
      <c r="AB1809" t="s">
        <v>74</v>
      </c>
      <c r="AC1809" t="s">
        <v>75</v>
      </c>
      <c r="AD1809" t="s">
        <v>72</v>
      </c>
      <c r="AE1809" t="s">
        <v>76</v>
      </c>
      <c r="AF1809" t="s">
        <v>3961</v>
      </c>
      <c r="AG1809" t="s">
        <v>77</v>
      </c>
    </row>
    <row r="1810" spans="1:33" x14ac:dyDescent="0.25">
      <c r="A1810" t="str">
        <f>"1336414796"</f>
        <v>1336414796</v>
      </c>
      <c r="B1810" t="str">
        <f>"03518816"</f>
        <v>03518816</v>
      </c>
      <c r="C1810" t="s">
        <v>9824</v>
      </c>
      <c r="D1810" t="s">
        <v>9825</v>
      </c>
      <c r="E1810" t="s">
        <v>9826</v>
      </c>
      <c r="G1810" t="s">
        <v>4093</v>
      </c>
      <c r="H1810" t="s">
        <v>4094</v>
      </c>
      <c r="I1810">
        <v>223</v>
      </c>
      <c r="J1810" t="s">
        <v>4095</v>
      </c>
      <c r="L1810" t="s">
        <v>79</v>
      </c>
      <c r="M1810" t="s">
        <v>72</v>
      </c>
      <c r="R1810" t="s">
        <v>9827</v>
      </c>
      <c r="W1810" t="s">
        <v>9826</v>
      </c>
      <c r="X1810" t="s">
        <v>4097</v>
      </c>
      <c r="Y1810" t="s">
        <v>242</v>
      </c>
      <c r="Z1810" t="s">
        <v>73</v>
      </c>
      <c r="AA1810" t="str">
        <f>"14701-9385"</f>
        <v>14701-9385</v>
      </c>
      <c r="AB1810" t="s">
        <v>74</v>
      </c>
      <c r="AC1810" t="s">
        <v>75</v>
      </c>
      <c r="AD1810" t="s">
        <v>72</v>
      </c>
      <c r="AE1810" t="s">
        <v>76</v>
      </c>
      <c r="AF1810" t="s">
        <v>4049</v>
      </c>
      <c r="AG1810" t="s">
        <v>77</v>
      </c>
    </row>
    <row r="1811" spans="1:33" x14ac:dyDescent="0.25">
      <c r="A1811" t="str">
        <f>"1952374050"</f>
        <v>1952374050</v>
      </c>
      <c r="B1811" t="str">
        <f>"02496371"</f>
        <v>02496371</v>
      </c>
      <c r="C1811" t="s">
        <v>9828</v>
      </c>
      <c r="D1811" t="s">
        <v>9829</v>
      </c>
      <c r="E1811" t="s">
        <v>9830</v>
      </c>
      <c r="G1811" t="s">
        <v>5976</v>
      </c>
      <c r="H1811" t="s">
        <v>5977</v>
      </c>
      <c r="J1811" t="s">
        <v>5978</v>
      </c>
      <c r="L1811" t="s">
        <v>79</v>
      </c>
      <c r="M1811" t="s">
        <v>81</v>
      </c>
      <c r="R1811" t="s">
        <v>9831</v>
      </c>
      <c r="W1811" t="s">
        <v>9830</v>
      </c>
      <c r="X1811" t="s">
        <v>1955</v>
      </c>
      <c r="Y1811" t="s">
        <v>240</v>
      </c>
      <c r="Z1811" t="s">
        <v>73</v>
      </c>
      <c r="AA1811" t="str">
        <f>"14094-5376"</f>
        <v>14094-5376</v>
      </c>
      <c r="AB1811" t="s">
        <v>74</v>
      </c>
      <c r="AC1811" t="s">
        <v>75</v>
      </c>
      <c r="AD1811" t="s">
        <v>72</v>
      </c>
      <c r="AE1811" t="s">
        <v>76</v>
      </c>
      <c r="AF1811" t="s">
        <v>3961</v>
      </c>
      <c r="AG1811" t="s">
        <v>77</v>
      </c>
    </row>
    <row r="1812" spans="1:33" x14ac:dyDescent="0.25">
      <c r="A1812" t="str">
        <f>"1144291576"</f>
        <v>1144291576</v>
      </c>
      <c r="B1812" t="str">
        <f>"02280239"</f>
        <v>02280239</v>
      </c>
      <c r="C1812" t="s">
        <v>9832</v>
      </c>
      <c r="D1812" t="s">
        <v>9833</v>
      </c>
      <c r="E1812" t="s">
        <v>9834</v>
      </c>
      <c r="G1812" t="s">
        <v>4101</v>
      </c>
      <c r="H1812" t="s">
        <v>4102</v>
      </c>
      <c r="I1812">
        <v>44</v>
      </c>
      <c r="J1812" t="s">
        <v>4103</v>
      </c>
      <c r="L1812" t="s">
        <v>80</v>
      </c>
      <c r="M1812" t="s">
        <v>81</v>
      </c>
      <c r="R1812" t="s">
        <v>9835</v>
      </c>
      <c r="W1812" t="s">
        <v>9834</v>
      </c>
      <c r="X1812" t="s">
        <v>4105</v>
      </c>
      <c r="Y1812" t="s">
        <v>242</v>
      </c>
      <c r="Z1812" t="s">
        <v>73</v>
      </c>
      <c r="AA1812" t="str">
        <f>"14701-2519"</f>
        <v>14701-2519</v>
      </c>
      <c r="AB1812" t="s">
        <v>74</v>
      </c>
      <c r="AC1812" t="s">
        <v>75</v>
      </c>
      <c r="AD1812" t="s">
        <v>72</v>
      </c>
      <c r="AE1812" t="s">
        <v>76</v>
      </c>
      <c r="AF1812" t="s">
        <v>4049</v>
      </c>
      <c r="AG1812" t="s">
        <v>77</v>
      </c>
    </row>
    <row r="1813" spans="1:33" x14ac:dyDescent="0.25">
      <c r="A1813" t="str">
        <f>"1578794533"</f>
        <v>1578794533</v>
      </c>
      <c r="B1813" t="str">
        <f>"03344974"</f>
        <v>03344974</v>
      </c>
      <c r="C1813" t="s">
        <v>9836</v>
      </c>
      <c r="D1813" t="s">
        <v>9837</v>
      </c>
      <c r="E1813" t="s">
        <v>9838</v>
      </c>
      <c r="G1813" t="s">
        <v>4883</v>
      </c>
      <c r="H1813" t="s">
        <v>9808</v>
      </c>
      <c r="J1813" t="s">
        <v>5620</v>
      </c>
      <c r="L1813" t="s">
        <v>79</v>
      </c>
      <c r="M1813" t="s">
        <v>72</v>
      </c>
      <c r="R1813" t="s">
        <v>9839</v>
      </c>
      <c r="W1813" t="s">
        <v>9838</v>
      </c>
      <c r="X1813" t="s">
        <v>187</v>
      </c>
      <c r="Y1813" t="s">
        <v>188</v>
      </c>
      <c r="Z1813" t="s">
        <v>73</v>
      </c>
      <c r="AA1813" t="str">
        <f>"14092-1903"</f>
        <v>14092-1903</v>
      </c>
      <c r="AB1813" t="s">
        <v>74</v>
      </c>
      <c r="AC1813" t="s">
        <v>75</v>
      </c>
      <c r="AD1813" t="s">
        <v>72</v>
      </c>
      <c r="AE1813" t="s">
        <v>76</v>
      </c>
      <c r="AF1813" t="s">
        <v>3974</v>
      </c>
      <c r="AG1813" t="s">
        <v>77</v>
      </c>
    </row>
    <row r="1814" spans="1:33" x14ac:dyDescent="0.25">
      <c r="A1814" t="str">
        <f>"1265477491"</f>
        <v>1265477491</v>
      </c>
      <c r="B1814" t="str">
        <f>"00657034"</f>
        <v>00657034</v>
      </c>
      <c r="C1814" t="s">
        <v>9840</v>
      </c>
      <c r="D1814" t="s">
        <v>3017</v>
      </c>
      <c r="E1814" t="s">
        <v>3018</v>
      </c>
      <c r="G1814" t="s">
        <v>9841</v>
      </c>
      <c r="H1814" t="s">
        <v>3019</v>
      </c>
      <c r="J1814" t="s">
        <v>9842</v>
      </c>
      <c r="L1814" t="s">
        <v>79</v>
      </c>
      <c r="M1814" t="s">
        <v>72</v>
      </c>
      <c r="R1814" t="s">
        <v>3020</v>
      </c>
      <c r="W1814" t="s">
        <v>3021</v>
      </c>
      <c r="X1814" t="s">
        <v>3022</v>
      </c>
      <c r="Y1814" t="s">
        <v>247</v>
      </c>
      <c r="Z1814" t="s">
        <v>73</v>
      </c>
      <c r="AA1814" t="str">
        <f>"14225-2001"</f>
        <v>14225-2001</v>
      </c>
      <c r="AB1814" t="s">
        <v>74</v>
      </c>
      <c r="AC1814" t="s">
        <v>75</v>
      </c>
      <c r="AD1814" t="s">
        <v>72</v>
      </c>
      <c r="AE1814" t="s">
        <v>76</v>
      </c>
      <c r="AF1814" t="s">
        <v>3974</v>
      </c>
      <c r="AG1814" t="s">
        <v>77</v>
      </c>
    </row>
    <row r="1815" spans="1:33" x14ac:dyDescent="0.25">
      <c r="A1815" t="str">
        <f>"1316049554"</f>
        <v>1316049554</v>
      </c>
      <c r="B1815" t="str">
        <f>"01861912"</f>
        <v>01861912</v>
      </c>
      <c r="C1815" t="s">
        <v>9843</v>
      </c>
      <c r="D1815" t="s">
        <v>9844</v>
      </c>
      <c r="E1815" t="s">
        <v>9845</v>
      </c>
      <c r="G1815" t="s">
        <v>7561</v>
      </c>
      <c r="H1815" t="s">
        <v>3362</v>
      </c>
      <c r="J1815" t="s">
        <v>7562</v>
      </c>
      <c r="L1815" t="s">
        <v>96</v>
      </c>
      <c r="M1815" t="s">
        <v>72</v>
      </c>
      <c r="R1815" t="s">
        <v>9846</v>
      </c>
      <c r="W1815" t="s">
        <v>9845</v>
      </c>
      <c r="X1815" t="s">
        <v>9847</v>
      </c>
      <c r="Y1815" t="s">
        <v>240</v>
      </c>
      <c r="Z1815" t="s">
        <v>73</v>
      </c>
      <c r="AA1815" t="str">
        <f>"14094-2942"</f>
        <v>14094-2942</v>
      </c>
      <c r="AB1815" t="s">
        <v>74</v>
      </c>
      <c r="AC1815" t="s">
        <v>75</v>
      </c>
      <c r="AD1815" t="s">
        <v>72</v>
      </c>
      <c r="AE1815" t="s">
        <v>76</v>
      </c>
      <c r="AF1815" t="s">
        <v>3974</v>
      </c>
      <c r="AG1815" t="s">
        <v>77</v>
      </c>
    </row>
    <row r="1816" spans="1:33" x14ac:dyDescent="0.25">
      <c r="A1816" t="str">
        <f>"1376698936"</f>
        <v>1376698936</v>
      </c>
      <c r="B1816" t="str">
        <f>"00746901"</f>
        <v>00746901</v>
      </c>
      <c r="C1816" t="s">
        <v>9848</v>
      </c>
      <c r="D1816" t="s">
        <v>2290</v>
      </c>
      <c r="E1816" t="s">
        <v>2291</v>
      </c>
      <c r="G1816" t="s">
        <v>9849</v>
      </c>
      <c r="H1816" t="s">
        <v>2292</v>
      </c>
      <c r="J1816" t="s">
        <v>9850</v>
      </c>
      <c r="L1816" t="s">
        <v>80</v>
      </c>
      <c r="M1816" t="s">
        <v>72</v>
      </c>
      <c r="R1816" t="s">
        <v>2293</v>
      </c>
      <c r="W1816" t="s">
        <v>2291</v>
      </c>
      <c r="Y1816" t="s">
        <v>117</v>
      </c>
      <c r="Z1816" t="s">
        <v>73</v>
      </c>
      <c r="AA1816" t="str">
        <f>"14214-2692"</f>
        <v>14214-2692</v>
      </c>
      <c r="AB1816" t="s">
        <v>74</v>
      </c>
      <c r="AC1816" t="s">
        <v>75</v>
      </c>
      <c r="AD1816" t="s">
        <v>72</v>
      </c>
      <c r="AE1816" t="s">
        <v>76</v>
      </c>
      <c r="AF1816" t="s">
        <v>4431</v>
      </c>
      <c r="AG1816" t="s">
        <v>77</v>
      </c>
    </row>
    <row r="1817" spans="1:33" x14ac:dyDescent="0.25">
      <c r="A1817" t="str">
        <f>"1073769725"</f>
        <v>1073769725</v>
      </c>
      <c r="B1817" t="str">
        <f>"03388658"</f>
        <v>03388658</v>
      </c>
      <c r="C1817" t="s">
        <v>9851</v>
      </c>
      <c r="D1817" t="s">
        <v>1842</v>
      </c>
      <c r="E1817" t="s">
        <v>1843</v>
      </c>
      <c r="G1817" t="s">
        <v>5402</v>
      </c>
      <c r="H1817" t="s">
        <v>877</v>
      </c>
      <c r="J1817" t="s">
        <v>5403</v>
      </c>
      <c r="L1817" t="s">
        <v>80</v>
      </c>
      <c r="M1817" t="s">
        <v>72</v>
      </c>
      <c r="R1817" t="s">
        <v>1844</v>
      </c>
      <c r="W1817" t="s">
        <v>1843</v>
      </c>
      <c r="X1817" t="s">
        <v>880</v>
      </c>
      <c r="Y1817" t="s">
        <v>817</v>
      </c>
      <c r="Z1817" t="s">
        <v>73</v>
      </c>
      <c r="AA1817" t="str">
        <f>"14063-1769"</f>
        <v>14063-1769</v>
      </c>
      <c r="AB1817" t="s">
        <v>74</v>
      </c>
      <c r="AC1817" t="s">
        <v>75</v>
      </c>
      <c r="AD1817" t="s">
        <v>72</v>
      </c>
      <c r="AE1817" t="s">
        <v>76</v>
      </c>
      <c r="AF1817" t="s">
        <v>4049</v>
      </c>
      <c r="AG1817" t="s">
        <v>77</v>
      </c>
    </row>
    <row r="1818" spans="1:33" x14ac:dyDescent="0.25">
      <c r="A1818" t="str">
        <f>"1962482711"</f>
        <v>1962482711</v>
      </c>
      <c r="B1818" t="str">
        <f>"00614475"</f>
        <v>00614475</v>
      </c>
      <c r="C1818" t="s">
        <v>9852</v>
      </c>
      <c r="D1818" t="s">
        <v>9853</v>
      </c>
      <c r="E1818" t="s">
        <v>9854</v>
      </c>
      <c r="G1818" t="s">
        <v>9855</v>
      </c>
      <c r="H1818" t="s">
        <v>9856</v>
      </c>
      <c r="J1818" t="s">
        <v>9857</v>
      </c>
      <c r="L1818" t="s">
        <v>71</v>
      </c>
      <c r="M1818" t="s">
        <v>72</v>
      </c>
      <c r="R1818" t="s">
        <v>9858</v>
      </c>
      <c r="W1818" t="s">
        <v>9854</v>
      </c>
      <c r="X1818" t="s">
        <v>446</v>
      </c>
      <c r="Y1818" t="s">
        <v>117</v>
      </c>
      <c r="Z1818" t="s">
        <v>73</v>
      </c>
      <c r="AA1818" t="str">
        <f>"14209-1194"</f>
        <v>14209-1194</v>
      </c>
      <c r="AB1818" t="s">
        <v>74</v>
      </c>
      <c r="AC1818" t="s">
        <v>75</v>
      </c>
      <c r="AD1818" t="s">
        <v>72</v>
      </c>
      <c r="AE1818" t="s">
        <v>76</v>
      </c>
      <c r="AF1818" t="s">
        <v>3974</v>
      </c>
      <c r="AG1818" t="s">
        <v>77</v>
      </c>
    </row>
    <row r="1819" spans="1:33" x14ac:dyDescent="0.25">
      <c r="A1819" t="str">
        <f>"1518916196"</f>
        <v>1518916196</v>
      </c>
      <c r="B1819" t="str">
        <f>"02771424"</f>
        <v>02771424</v>
      </c>
      <c r="C1819" t="s">
        <v>9859</v>
      </c>
      <c r="D1819" t="s">
        <v>1714</v>
      </c>
      <c r="E1819" t="s">
        <v>1715</v>
      </c>
      <c r="G1819" t="s">
        <v>8950</v>
      </c>
      <c r="J1819" t="s">
        <v>8952</v>
      </c>
      <c r="L1819" t="s">
        <v>79</v>
      </c>
      <c r="M1819" t="s">
        <v>72</v>
      </c>
      <c r="R1819" t="s">
        <v>1716</v>
      </c>
      <c r="W1819" t="s">
        <v>1715</v>
      </c>
      <c r="X1819" t="s">
        <v>1717</v>
      </c>
      <c r="Y1819" t="s">
        <v>221</v>
      </c>
      <c r="Z1819" t="s">
        <v>73</v>
      </c>
      <c r="AA1819" t="str">
        <f>"14221-4827"</f>
        <v>14221-4827</v>
      </c>
      <c r="AB1819" t="s">
        <v>74</v>
      </c>
      <c r="AC1819" t="s">
        <v>75</v>
      </c>
      <c r="AD1819" t="s">
        <v>72</v>
      </c>
      <c r="AE1819" t="s">
        <v>76</v>
      </c>
      <c r="AG1819" t="s">
        <v>77</v>
      </c>
    </row>
    <row r="1820" spans="1:33" x14ac:dyDescent="0.25">
      <c r="A1820" t="str">
        <f>"1013901412"</f>
        <v>1013901412</v>
      </c>
      <c r="B1820" t="str">
        <f>"01139679"</f>
        <v>01139679</v>
      </c>
      <c r="C1820" t="s">
        <v>9860</v>
      </c>
      <c r="D1820" t="s">
        <v>1920</v>
      </c>
      <c r="E1820" t="s">
        <v>1921</v>
      </c>
      <c r="G1820" t="s">
        <v>5142</v>
      </c>
      <c r="H1820" t="s">
        <v>1922</v>
      </c>
      <c r="J1820" t="s">
        <v>5143</v>
      </c>
      <c r="L1820" t="s">
        <v>79</v>
      </c>
      <c r="M1820" t="s">
        <v>72</v>
      </c>
      <c r="R1820" t="s">
        <v>1923</v>
      </c>
      <c r="W1820" t="s">
        <v>1921</v>
      </c>
      <c r="X1820" t="s">
        <v>1924</v>
      </c>
      <c r="Y1820" t="s">
        <v>221</v>
      </c>
      <c r="Z1820" t="s">
        <v>73</v>
      </c>
      <c r="AA1820" t="str">
        <f>"14221-5367"</f>
        <v>14221-5367</v>
      </c>
      <c r="AB1820" t="s">
        <v>74</v>
      </c>
      <c r="AC1820" t="s">
        <v>75</v>
      </c>
      <c r="AD1820" t="s">
        <v>72</v>
      </c>
      <c r="AE1820" t="s">
        <v>76</v>
      </c>
      <c r="AF1820" t="s">
        <v>3961</v>
      </c>
      <c r="AG1820" t="s">
        <v>77</v>
      </c>
    </row>
    <row r="1821" spans="1:33" x14ac:dyDescent="0.25">
      <c r="A1821" t="str">
        <f>"1295803294"</f>
        <v>1295803294</v>
      </c>
      <c r="B1821" t="str">
        <f>"00677601"</f>
        <v>00677601</v>
      </c>
      <c r="C1821" t="s">
        <v>9861</v>
      </c>
      <c r="D1821" t="s">
        <v>2349</v>
      </c>
      <c r="E1821" t="s">
        <v>2350</v>
      </c>
      <c r="G1821" t="s">
        <v>9862</v>
      </c>
      <c r="H1821" t="s">
        <v>2351</v>
      </c>
      <c r="J1821" t="s">
        <v>9863</v>
      </c>
      <c r="L1821" t="s">
        <v>80</v>
      </c>
      <c r="M1821" t="s">
        <v>72</v>
      </c>
      <c r="R1821" t="s">
        <v>2352</v>
      </c>
      <c r="W1821" t="s">
        <v>2350</v>
      </c>
      <c r="X1821" t="s">
        <v>2353</v>
      </c>
      <c r="Y1821" t="s">
        <v>317</v>
      </c>
      <c r="Z1821" t="s">
        <v>73</v>
      </c>
      <c r="AA1821" t="str">
        <f>"14218-3619"</f>
        <v>14218-3619</v>
      </c>
      <c r="AB1821" t="s">
        <v>74</v>
      </c>
      <c r="AC1821" t="s">
        <v>75</v>
      </c>
      <c r="AD1821" t="s">
        <v>72</v>
      </c>
      <c r="AE1821" t="s">
        <v>76</v>
      </c>
      <c r="AF1821" t="s">
        <v>4431</v>
      </c>
      <c r="AG1821" t="s">
        <v>77</v>
      </c>
    </row>
    <row r="1822" spans="1:33" x14ac:dyDescent="0.25">
      <c r="A1822" t="str">
        <f>"1144381831"</f>
        <v>1144381831</v>
      </c>
      <c r="B1822" t="str">
        <f>"01566123"</f>
        <v>01566123</v>
      </c>
      <c r="C1822" t="s">
        <v>9864</v>
      </c>
      <c r="D1822" t="s">
        <v>2981</v>
      </c>
      <c r="E1822" t="s">
        <v>2982</v>
      </c>
      <c r="G1822" t="s">
        <v>5085</v>
      </c>
      <c r="H1822" t="s">
        <v>789</v>
      </c>
      <c r="J1822" t="s">
        <v>4888</v>
      </c>
      <c r="L1822" t="s">
        <v>79</v>
      </c>
      <c r="M1822" t="s">
        <v>72</v>
      </c>
      <c r="R1822" t="s">
        <v>2983</v>
      </c>
      <c r="W1822" t="s">
        <v>2982</v>
      </c>
      <c r="X1822" t="s">
        <v>688</v>
      </c>
      <c r="Y1822" t="s">
        <v>117</v>
      </c>
      <c r="Z1822" t="s">
        <v>73</v>
      </c>
      <c r="AA1822" t="str">
        <f>"14221-3706"</f>
        <v>14221-3706</v>
      </c>
      <c r="AB1822" t="s">
        <v>74</v>
      </c>
      <c r="AC1822" t="s">
        <v>75</v>
      </c>
      <c r="AD1822" t="s">
        <v>72</v>
      </c>
      <c r="AE1822" t="s">
        <v>76</v>
      </c>
      <c r="AF1822" t="s">
        <v>3974</v>
      </c>
      <c r="AG1822" t="s">
        <v>77</v>
      </c>
    </row>
    <row r="1823" spans="1:33" x14ac:dyDescent="0.25">
      <c r="A1823" t="str">
        <f>"1063473288"</f>
        <v>1063473288</v>
      </c>
      <c r="B1823" t="str">
        <f>"02595004"</f>
        <v>02595004</v>
      </c>
      <c r="C1823" t="s">
        <v>9865</v>
      </c>
      <c r="D1823" t="s">
        <v>9866</v>
      </c>
      <c r="E1823" t="s">
        <v>9867</v>
      </c>
      <c r="G1823" t="s">
        <v>6164</v>
      </c>
      <c r="H1823" t="s">
        <v>6165</v>
      </c>
      <c r="J1823" t="s">
        <v>6166</v>
      </c>
      <c r="L1823" t="s">
        <v>71</v>
      </c>
      <c r="M1823" t="s">
        <v>72</v>
      </c>
      <c r="R1823" t="s">
        <v>9868</v>
      </c>
      <c r="W1823" t="s">
        <v>9867</v>
      </c>
      <c r="X1823" t="s">
        <v>9869</v>
      </c>
      <c r="Y1823" t="s">
        <v>120</v>
      </c>
      <c r="Z1823" t="s">
        <v>73</v>
      </c>
      <c r="AA1823" t="str">
        <f>"13203-1807"</f>
        <v>13203-1807</v>
      </c>
      <c r="AB1823" t="s">
        <v>74</v>
      </c>
      <c r="AC1823" t="s">
        <v>75</v>
      </c>
      <c r="AD1823" t="s">
        <v>72</v>
      </c>
      <c r="AE1823" t="s">
        <v>76</v>
      </c>
      <c r="AF1823" t="s">
        <v>3974</v>
      </c>
      <c r="AG1823" t="s">
        <v>77</v>
      </c>
    </row>
    <row r="1824" spans="1:33" x14ac:dyDescent="0.25">
      <c r="A1824" t="str">
        <f>"1083670962"</f>
        <v>1083670962</v>
      </c>
      <c r="B1824" t="str">
        <f>"01961577"</f>
        <v>01961577</v>
      </c>
      <c r="C1824" t="s">
        <v>9870</v>
      </c>
      <c r="D1824" t="s">
        <v>2613</v>
      </c>
      <c r="E1824" t="s">
        <v>2614</v>
      </c>
      <c r="G1824" t="s">
        <v>9870</v>
      </c>
      <c r="H1824" t="s">
        <v>2615</v>
      </c>
      <c r="J1824" t="s">
        <v>9871</v>
      </c>
      <c r="L1824" t="s">
        <v>79</v>
      </c>
      <c r="M1824" t="s">
        <v>72</v>
      </c>
      <c r="R1824" t="s">
        <v>2616</v>
      </c>
      <c r="W1824" t="s">
        <v>2614</v>
      </c>
      <c r="X1824" t="s">
        <v>794</v>
      </c>
      <c r="Y1824" t="s">
        <v>117</v>
      </c>
      <c r="Z1824" t="s">
        <v>73</v>
      </c>
      <c r="AA1824" t="str">
        <f>"14214-8001"</f>
        <v>14214-8001</v>
      </c>
      <c r="AB1824" t="s">
        <v>74</v>
      </c>
      <c r="AC1824" t="s">
        <v>75</v>
      </c>
      <c r="AD1824" t="s">
        <v>72</v>
      </c>
      <c r="AE1824" t="s">
        <v>76</v>
      </c>
      <c r="AF1824" t="s">
        <v>3974</v>
      </c>
      <c r="AG1824" t="s">
        <v>77</v>
      </c>
    </row>
    <row r="1825" spans="1:33" x14ac:dyDescent="0.25">
      <c r="A1825" t="str">
        <f>"1841256336"</f>
        <v>1841256336</v>
      </c>
      <c r="B1825" t="str">
        <f>"01641510"</f>
        <v>01641510</v>
      </c>
      <c r="C1825" t="s">
        <v>9872</v>
      </c>
      <c r="D1825" t="s">
        <v>3500</v>
      </c>
      <c r="E1825" t="s">
        <v>3501</v>
      </c>
      <c r="G1825" t="s">
        <v>5085</v>
      </c>
      <c r="H1825" t="s">
        <v>789</v>
      </c>
      <c r="J1825" t="s">
        <v>4888</v>
      </c>
      <c r="L1825" t="s">
        <v>79</v>
      </c>
      <c r="M1825" t="s">
        <v>72</v>
      </c>
      <c r="R1825" t="s">
        <v>3502</v>
      </c>
      <c r="W1825" t="s">
        <v>3501</v>
      </c>
      <c r="X1825" t="s">
        <v>393</v>
      </c>
      <c r="Y1825" t="s">
        <v>228</v>
      </c>
      <c r="Z1825" t="s">
        <v>73</v>
      </c>
      <c r="AA1825" t="str">
        <f>"14226-1727"</f>
        <v>14226-1727</v>
      </c>
      <c r="AB1825" t="s">
        <v>74</v>
      </c>
      <c r="AC1825" t="s">
        <v>75</v>
      </c>
      <c r="AD1825" t="s">
        <v>72</v>
      </c>
      <c r="AE1825" t="s">
        <v>76</v>
      </c>
      <c r="AF1825" t="s">
        <v>3974</v>
      </c>
      <c r="AG1825" t="s">
        <v>77</v>
      </c>
    </row>
    <row r="1826" spans="1:33" x14ac:dyDescent="0.25">
      <c r="A1826" t="str">
        <f>"1134196728"</f>
        <v>1134196728</v>
      </c>
      <c r="B1826" t="str">
        <f>"01795308"</f>
        <v>01795308</v>
      </c>
      <c r="C1826" t="s">
        <v>9873</v>
      </c>
      <c r="D1826" t="s">
        <v>9874</v>
      </c>
      <c r="E1826" t="s">
        <v>9875</v>
      </c>
      <c r="G1826" t="s">
        <v>3969</v>
      </c>
      <c r="H1826" t="s">
        <v>3970</v>
      </c>
      <c r="J1826" t="s">
        <v>3971</v>
      </c>
      <c r="L1826" t="s">
        <v>79</v>
      </c>
      <c r="M1826" t="s">
        <v>72</v>
      </c>
      <c r="R1826" t="s">
        <v>9876</v>
      </c>
      <c r="W1826" t="s">
        <v>9875</v>
      </c>
      <c r="X1826" t="s">
        <v>187</v>
      </c>
      <c r="Y1826" t="s">
        <v>188</v>
      </c>
      <c r="Z1826" t="s">
        <v>73</v>
      </c>
      <c r="AA1826" t="str">
        <f>"14092-1903"</f>
        <v>14092-1903</v>
      </c>
      <c r="AB1826" t="s">
        <v>74</v>
      </c>
      <c r="AC1826" t="s">
        <v>75</v>
      </c>
      <c r="AD1826" t="s">
        <v>72</v>
      </c>
      <c r="AE1826" t="s">
        <v>76</v>
      </c>
      <c r="AF1826" t="s">
        <v>3974</v>
      </c>
      <c r="AG1826" t="s">
        <v>77</v>
      </c>
    </row>
    <row r="1827" spans="1:33" x14ac:dyDescent="0.25">
      <c r="A1827" t="str">
        <f>"1265469126"</f>
        <v>1265469126</v>
      </c>
      <c r="B1827" t="str">
        <f>"01885161"</f>
        <v>01885161</v>
      </c>
      <c r="C1827" t="s">
        <v>9877</v>
      </c>
      <c r="D1827" t="s">
        <v>3014</v>
      </c>
      <c r="E1827" t="s">
        <v>3015</v>
      </c>
      <c r="G1827" t="s">
        <v>5380</v>
      </c>
      <c r="H1827" t="s">
        <v>2898</v>
      </c>
      <c r="J1827" t="s">
        <v>5381</v>
      </c>
      <c r="L1827" t="s">
        <v>79</v>
      </c>
      <c r="M1827" t="s">
        <v>72</v>
      </c>
      <c r="R1827" t="s">
        <v>3016</v>
      </c>
      <c r="W1827" t="s">
        <v>3015</v>
      </c>
      <c r="X1827" t="s">
        <v>2899</v>
      </c>
      <c r="Y1827" t="s">
        <v>117</v>
      </c>
      <c r="Z1827" t="s">
        <v>73</v>
      </c>
      <c r="AA1827" t="str">
        <f>"14226-3800"</f>
        <v>14226-3800</v>
      </c>
      <c r="AB1827" t="s">
        <v>74</v>
      </c>
      <c r="AC1827" t="s">
        <v>75</v>
      </c>
      <c r="AD1827" t="s">
        <v>72</v>
      </c>
      <c r="AE1827" t="s">
        <v>76</v>
      </c>
      <c r="AF1827" t="s">
        <v>3974</v>
      </c>
      <c r="AG1827" t="s">
        <v>77</v>
      </c>
    </row>
    <row r="1828" spans="1:33" x14ac:dyDescent="0.25">
      <c r="A1828" t="str">
        <f>"1124025705"</f>
        <v>1124025705</v>
      </c>
      <c r="C1828" t="s">
        <v>9878</v>
      </c>
      <c r="G1828" t="s">
        <v>9879</v>
      </c>
      <c r="H1828" t="s">
        <v>2076</v>
      </c>
      <c r="J1828" t="s">
        <v>9880</v>
      </c>
      <c r="K1828" t="s">
        <v>89</v>
      </c>
      <c r="L1828" t="s">
        <v>92</v>
      </c>
      <c r="M1828" t="s">
        <v>72</v>
      </c>
      <c r="R1828" t="s">
        <v>2075</v>
      </c>
      <c r="S1828" t="s">
        <v>2077</v>
      </c>
      <c r="T1828" t="s">
        <v>117</v>
      </c>
      <c r="U1828" t="s">
        <v>73</v>
      </c>
      <c r="V1828" t="str">
        <f>"142021515"</f>
        <v>142021515</v>
      </c>
      <c r="AC1828" t="s">
        <v>75</v>
      </c>
      <c r="AD1828" t="s">
        <v>72</v>
      </c>
      <c r="AE1828" t="s">
        <v>93</v>
      </c>
      <c r="AF1828" t="s">
        <v>4059</v>
      </c>
      <c r="AG1828" t="s">
        <v>77</v>
      </c>
    </row>
    <row r="1829" spans="1:33" x14ac:dyDescent="0.25">
      <c r="A1829" t="str">
        <f>"1790782761"</f>
        <v>1790782761</v>
      </c>
      <c r="B1829" t="str">
        <f>"01721439"</f>
        <v>01721439</v>
      </c>
      <c r="C1829" t="s">
        <v>9881</v>
      </c>
      <c r="D1829" t="s">
        <v>3519</v>
      </c>
      <c r="E1829" t="s">
        <v>3520</v>
      </c>
      <c r="G1829" t="s">
        <v>5463</v>
      </c>
      <c r="H1829" t="s">
        <v>589</v>
      </c>
      <c r="J1829" t="s">
        <v>5464</v>
      </c>
      <c r="L1829" t="s">
        <v>79</v>
      </c>
      <c r="M1829" t="s">
        <v>72</v>
      </c>
      <c r="R1829" t="s">
        <v>3521</v>
      </c>
      <c r="W1829" t="s">
        <v>3520</v>
      </c>
      <c r="X1829" t="s">
        <v>3522</v>
      </c>
      <c r="Y1829" t="s">
        <v>117</v>
      </c>
      <c r="Z1829" t="s">
        <v>73</v>
      </c>
      <c r="AA1829" t="str">
        <f>"14215-1713"</f>
        <v>14215-1713</v>
      </c>
      <c r="AB1829" t="s">
        <v>74</v>
      </c>
      <c r="AC1829" t="s">
        <v>75</v>
      </c>
      <c r="AD1829" t="s">
        <v>72</v>
      </c>
      <c r="AE1829" t="s">
        <v>76</v>
      </c>
      <c r="AF1829" t="s">
        <v>3974</v>
      </c>
      <c r="AG1829" t="s">
        <v>77</v>
      </c>
    </row>
    <row r="1830" spans="1:33" x14ac:dyDescent="0.25">
      <c r="A1830" t="str">
        <f>"1598762320"</f>
        <v>1598762320</v>
      </c>
      <c r="B1830" t="str">
        <f>"02422604"</f>
        <v>02422604</v>
      </c>
      <c r="C1830" t="s">
        <v>9882</v>
      </c>
      <c r="D1830" t="s">
        <v>1075</v>
      </c>
      <c r="E1830" t="s">
        <v>1076</v>
      </c>
      <c r="G1830" t="s">
        <v>5463</v>
      </c>
      <c r="H1830" t="s">
        <v>589</v>
      </c>
      <c r="J1830" t="s">
        <v>5464</v>
      </c>
      <c r="L1830" t="s">
        <v>79</v>
      </c>
      <c r="M1830" t="s">
        <v>72</v>
      </c>
      <c r="R1830" t="s">
        <v>1077</v>
      </c>
      <c r="W1830" t="s">
        <v>1076</v>
      </c>
      <c r="X1830" t="s">
        <v>1076</v>
      </c>
      <c r="Y1830" t="s">
        <v>117</v>
      </c>
      <c r="Z1830" t="s">
        <v>73</v>
      </c>
      <c r="AA1830" t="str">
        <f>"14215-1436"</f>
        <v>14215-1436</v>
      </c>
      <c r="AB1830" t="s">
        <v>74</v>
      </c>
      <c r="AC1830" t="s">
        <v>75</v>
      </c>
      <c r="AD1830" t="s">
        <v>72</v>
      </c>
      <c r="AE1830" t="s">
        <v>76</v>
      </c>
      <c r="AF1830" t="s">
        <v>3974</v>
      </c>
      <c r="AG1830" t="s">
        <v>77</v>
      </c>
    </row>
    <row r="1831" spans="1:33" x14ac:dyDescent="0.25">
      <c r="A1831" t="str">
        <f>"1356344279"</f>
        <v>1356344279</v>
      </c>
      <c r="B1831" t="str">
        <f>"01842731"</f>
        <v>01842731</v>
      </c>
      <c r="C1831" t="s">
        <v>9883</v>
      </c>
      <c r="D1831" t="s">
        <v>9884</v>
      </c>
      <c r="E1831" t="s">
        <v>9885</v>
      </c>
      <c r="G1831" t="s">
        <v>4883</v>
      </c>
      <c r="H1831" t="s">
        <v>5619</v>
      </c>
      <c r="J1831" t="s">
        <v>5620</v>
      </c>
      <c r="L1831" t="s">
        <v>79</v>
      </c>
      <c r="M1831" t="s">
        <v>72</v>
      </c>
      <c r="R1831" t="s">
        <v>9886</v>
      </c>
      <c r="W1831" t="s">
        <v>9885</v>
      </c>
      <c r="X1831" t="s">
        <v>9885</v>
      </c>
      <c r="Y1831" t="s">
        <v>455</v>
      </c>
      <c r="Z1831" t="s">
        <v>73</v>
      </c>
      <c r="AA1831" t="str">
        <f>"14026-0010"</f>
        <v>14026-0010</v>
      </c>
      <c r="AB1831" t="s">
        <v>74</v>
      </c>
      <c r="AC1831" t="s">
        <v>75</v>
      </c>
      <c r="AD1831" t="s">
        <v>72</v>
      </c>
      <c r="AE1831" t="s">
        <v>76</v>
      </c>
      <c r="AF1831" t="s">
        <v>3974</v>
      </c>
      <c r="AG1831" t="s">
        <v>77</v>
      </c>
    </row>
    <row r="1832" spans="1:33" x14ac:dyDescent="0.25">
      <c r="A1832" t="str">
        <f>"1639192677"</f>
        <v>1639192677</v>
      </c>
      <c r="B1832" t="str">
        <f>"00838091"</f>
        <v>00838091</v>
      </c>
      <c r="C1832" t="s">
        <v>9887</v>
      </c>
      <c r="D1832" t="s">
        <v>2434</v>
      </c>
      <c r="E1832" t="s">
        <v>2435</v>
      </c>
      <c r="G1832" t="s">
        <v>9887</v>
      </c>
      <c r="H1832" t="s">
        <v>2436</v>
      </c>
      <c r="J1832" t="s">
        <v>9888</v>
      </c>
      <c r="L1832" t="s">
        <v>79</v>
      </c>
      <c r="M1832" t="s">
        <v>72</v>
      </c>
      <c r="R1832" t="s">
        <v>2437</v>
      </c>
      <c r="W1832" t="s">
        <v>2435</v>
      </c>
      <c r="X1832" t="s">
        <v>2438</v>
      </c>
      <c r="Y1832" t="s">
        <v>247</v>
      </c>
      <c r="Z1832" t="s">
        <v>73</v>
      </c>
      <c r="AA1832" t="str">
        <f>"14225-4758"</f>
        <v>14225-4758</v>
      </c>
      <c r="AB1832" t="s">
        <v>113</v>
      </c>
      <c r="AC1832" t="s">
        <v>75</v>
      </c>
      <c r="AD1832" t="s">
        <v>72</v>
      </c>
      <c r="AE1832" t="s">
        <v>76</v>
      </c>
      <c r="AF1832" t="s">
        <v>3974</v>
      </c>
      <c r="AG1832" t="s">
        <v>77</v>
      </c>
    </row>
    <row r="1833" spans="1:33" x14ac:dyDescent="0.25">
      <c r="A1833" t="str">
        <f>"1225045685"</f>
        <v>1225045685</v>
      </c>
      <c r="B1833" t="str">
        <f>"02641183"</f>
        <v>02641183</v>
      </c>
      <c r="C1833" t="s">
        <v>9889</v>
      </c>
      <c r="D1833" t="s">
        <v>9890</v>
      </c>
      <c r="E1833" t="s">
        <v>9891</v>
      </c>
      <c r="G1833" t="s">
        <v>9889</v>
      </c>
      <c r="H1833" t="s">
        <v>4732</v>
      </c>
      <c r="J1833" t="s">
        <v>9892</v>
      </c>
      <c r="L1833" t="s">
        <v>79</v>
      </c>
      <c r="M1833" t="s">
        <v>72</v>
      </c>
      <c r="R1833" t="s">
        <v>9893</v>
      </c>
      <c r="W1833" t="s">
        <v>9891</v>
      </c>
      <c r="X1833" t="s">
        <v>301</v>
      </c>
      <c r="Y1833" t="s">
        <v>117</v>
      </c>
      <c r="Z1833" t="s">
        <v>73</v>
      </c>
      <c r="AA1833" t="str">
        <f>"14214-2648"</f>
        <v>14214-2648</v>
      </c>
      <c r="AB1833" t="s">
        <v>74</v>
      </c>
      <c r="AC1833" t="s">
        <v>75</v>
      </c>
      <c r="AD1833" t="s">
        <v>72</v>
      </c>
      <c r="AE1833" t="s">
        <v>76</v>
      </c>
      <c r="AF1833" t="s">
        <v>3974</v>
      </c>
      <c r="AG1833" t="s">
        <v>77</v>
      </c>
    </row>
    <row r="1834" spans="1:33" x14ac:dyDescent="0.25">
      <c r="A1834" t="str">
        <f>"1073544755"</f>
        <v>1073544755</v>
      </c>
      <c r="B1834" t="str">
        <f>"01885230"</f>
        <v>01885230</v>
      </c>
      <c r="C1834" t="s">
        <v>9894</v>
      </c>
      <c r="D1834" t="s">
        <v>9895</v>
      </c>
      <c r="E1834" t="s">
        <v>9896</v>
      </c>
      <c r="G1834" t="s">
        <v>6895</v>
      </c>
      <c r="H1834" t="s">
        <v>6896</v>
      </c>
      <c r="J1834" t="s">
        <v>6897</v>
      </c>
      <c r="L1834" t="s">
        <v>80</v>
      </c>
      <c r="M1834" t="s">
        <v>81</v>
      </c>
      <c r="R1834" t="s">
        <v>9897</v>
      </c>
      <c r="W1834" t="s">
        <v>9896</v>
      </c>
      <c r="X1834" t="s">
        <v>2033</v>
      </c>
      <c r="Y1834" t="s">
        <v>117</v>
      </c>
      <c r="Z1834" t="s">
        <v>73</v>
      </c>
      <c r="AA1834" t="str">
        <f>"14215-3098"</f>
        <v>14215-3098</v>
      </c>
      <c r="AB1834" t="s">
        <v>74</v>
      </c>
      <c r="AC1834" t="s">
        <v>75</v>
      </c>
      <c r="AD1834" t="s">
        <v>72</v>
      </c>
      <c r="AE1834" t="s">
        <v>76</v>
      </c>
      <c r="AF1834" t="s">
        <v>3974</v>
      </c>
      <c r="AG1834" t="s">
        <v>77</v>
      </c>
    </row>
    <row r="1835" spans="1:33" x14ac:dyDescent="0.25">
      <c r="A1835" t="str">
        <f>"1184858458"</f>
        <v>1184858458</v>
      </c>
      <c r="B1835" t="str">
        <f>"03590310"</f>
        <v>03590310</v>
      </c>
      <c r="C1835" t="s">
        <v>9898</v>
      </c>
      <c r="D1835" t="s">
        <v>2277</v>
      </c>
      <c r="E1835" t="s">
        <v>2278</v>
      </c>
      <c r="G1835" t="s">
        <v>9899</v>
      </c>
      <c r="H1835" t="s">
        <v>9900</v>
      </c>
      <c r="J1835" t="s">
        <v>6962</v>
      </c>
      <c r="L1835" t="s">
        <v>71</v>
      </c>
      <c r="M1835" t="s">
        <v>72</v>
      </c>
      <c r="R1835" t="s">
        <v>2279</v>
      </c>
      <c r="W1835" t="s">
        <v>2278</v>
      </c>
      <c r="X1835" t="s">
        <v>2280</v>
      </c>
      <c r="Y1835" t="s">
        <v>228</v>
      </c>
      <c r="Z1835" t="s">
        <v>73</v>
      </c>
      <c r="AA1835" t="str">
        <f>"14226-1206"</f>
        <v>14226-1206</v>
      </c>
      <c r="AB1835" t="s">
        <v>74</v>
      </c>
      <c r="AC1835" t="s">
        <v>75</v>
      </c>
      <c r="AD1835" t="s">
        <v>72</v>
      </c>
      <c r="AE1835" t="s">
        <v>76</v>
      </c>
      <c r="AF1835" t="s">
        <v>3974</v>
      </c>
      <c r="AG1835" t="s">
        <v>77</v>
      </c>
    </row>
    <row r="1836" spans="1:33" x14ac:dyDescent="0.25">
      <c r="A1836" t="str">
        <f>"1316913338"</f>
        <v>1316913338</v>
      </c>
      <c r="B1836" t="str">
        <f>"01289174"</f>
        <v>01289174</v>
      </c>
      <c r="C1836" t="s">
        <v>9901</v>
      </c>
      <c r="D1836" t="s">
        <v>3227</v>
      </c>
      <c r="E1836" t="s">
        <v>3228</v>
      </c>
      <c r="G1836" t="s">
        <v>5402</v>
      </c>
      <c r="H1836" t="s">
        <v>877</v>
      </c>
      <c r="J1836" t="s">
        <v>5403</v>
      </c>
      <c r="L1836" t="s">
        <v>80</v>
      </c>
      <c r="M1836" t="s">
        <v>72</v>
      </c>
      <c r="R1836" t="s">
        <v>3229</v>
      </c>
      <c r="W1836" t="s">
        <v>3230</v>
      </c>
      <c r="X1836" t="s">
        <v>3231</v>
      </c>
      <c r="Y1836" t="s">
        <v>817</v>
      </c>
      <c r="Z1836" t="s">
        <v>73</v>
      </c>
      <c r="AA1836" t="str">
        <f>"14063-1769"</f>
        <v>14063-1769</v>
      </c>
      <c r="AB1836" t="s">
        <v>74</v>
      </c>
      <c r="AC1836" t="s">
        <v>75</v>
      </c>
      <c r="AD1836" t="s">
        <v>72</v>
      </c>
      <c r="AE1836" t="s">
        <v>76</v>
      </c>
      <c r="AF1836" t="s">
        <v>4049</v>
      </c>
      <c r="AG1836" t="s">
        <v>77</v>
      </c>
    </row>
    <row r="1837" spans="1:33" x14ac:dyDescent="0.25">
      <c r="A1837" t="str">
        <f>"1629062013"</f>
        <v>1629062013</v>
      </c>
      <c r="B1837" t="str">
        <f>"00613507"</f>
        <v>00613507</v>
      </c>
      <c r="C1837" t="s">
        <v>9902</v>
      </c>
      <c r="D1837" t="s">
        <v>3047</v>
      </c>
      <c r="E1837" t="s">
        <v>3048</v>
      </c>
      <c r="G1837" t="s">
        <v>5142</v>
      </c>
      <c r="H1837" t="s">
        <v>1922</v>
      </c>
      <c r="J1837" t="s">
        <v>5143</v>
      </c>
      <c r="L1837" t="s">
        <v>79</v>
      </c>
      <c r="M1837" t="s">
        <v>72</v>
      </c>
      <c r="R1837" t="s">
        <v>3049</v>
      </c>
      <c r="W1837" t="s">
        <v>3048</v>
      </c>
      <c r="X1837" t="s">
        <v>3050</v>
      </c>
      <c r="Y1837" t="s">
        <v>117</v>
      </c>
      <c r="Z1837" t="s">
        <v>73</v>
      </c>
      <c r="AA1837" t="str">
        <f>"14214-2634"</f>
        <v>14214-2634</v>
      </c>
      <c r="AB1837" t="s">
        <v>74</v>
      </c>
      <c r="AC1837" t="s">
        <v>75</v>
      </c>
      <c r="AD1837" t="s">
        <v>72</v>
      </c>
      <c r="AE1837" t="s">
        <v>76</v>
      </c>
      <c r="AF1837" t="s">
        <v>3961</v>
      </c>
      <c r="AG1837" t="s">
        <v>77</v>
      </c>
    </row>
    <row r="1838" spans="1:33" x14ac:dyDescent="0.25">
      <c r="A1838" t="str">
        <f>"1003107285"</f>
        <v>1003107285</v>
      </c>
      <c r="B1838" t="str">
        <f>"03581904"</f>
        <v>03581904</v>
      </c>
      <c r="C1838" t="s">
        <v>9903</v>
      </c>
      <c r="D1838" t="s">
        <v>2066</v>
      </c>
      <c r="E1838" t="s">
        <v>2067</v>
      </c>
      <c r="G1838" t="s">
        <v>3952</v>
      </c>
      <c r="H1838" t="s">
        <v>3953</v>
      </c>
      <c r="J1838" t="s">
        <v>3954</v>
      </c>
      <c r="L1838" t="s">
        <v>79</v>
      </c>
      <c r="M1838" t="s">
        <v>72</v>
      </c>
      <c r="R1838" t="s">
        <v>2068</v>
      </c>
      <c r="W1838" t="s">
        <v>2067</v>
      </c>
      <c r="X1838" t="s">
        <v>250</v>
      </c>
      <c r="Y1838" t="s">
        <v>217</v>
      </c>
      <c r="Z1838" t="s">
        <v>73</v>
      </c>
      <c r="AA1838" t="str">
        <f>"14760-1513"</f>
        <v>14760-1513</v>
      </c>
      <c r="AB1838" t="s">
        <v>74</v>
      </c>
      <c r="AC1838" t="s">
        <v>75</v>
      </c>
      <c r="AD1838" t="s">
        <v>72</v>
      </c>
      <c r="AE1838" t="s">
        <v>76</v>
      </c>
      <c r="AG1838" t="s">
        <v>77</v>
      </c>
    </row>
    <row r="1839" spans="1:33" x14ac:dyDescent="0.25">
      <c r="A1839" t="str">
        <f>"1568442465"</f>
        <v>1568442465</v>
      </c>
      <c r="B1839" t="str">
        <f>"01477605"</f>
        <v>01477605</v>
      </c>
      <c r="C1839" t="s">
        <v>9904</v>
      </c>
      <c r="D1839" t="s">
        <v>696</v>
      </c>
      <c r="E1839" t="s">
        <v>697</v>
      </c>
      <c r="G1839" t="s">
        <v>6304</v>
      </c>
      <c r="H1839" t="s">
        <v>698</v>
      </c>
      <c r="J1839" t="s">
        <v>6305</v>
      </c>
      <c r="L1839" t="s">
        <v>80</v>
      </c>
      <c r="M1839" t="s">
        <v>72</v>
      </c>
      <c r="R1839" t="s">
        <v>699</v>
      </c>
      <c r="W1839" t="s">
        <v>697</v>
      </c>
      <c r="X1839" t="s">
        <v>173</v>
      </c>
      <c r="Y1839" t="s">
        <v>117</v>
      </c>
      <c r="Z1839" t="s">
        <v>73</v>
      </c>
      <c r="AA1839" t="str">
        <f>"14222-2006"</f>
        <v>14222-2006</v>
      </c>
      <c r="AB1839" t="s">
        <v>74</v>
      </c>
      <c r="AC1839" t="s">
        <v>75</v>
      </c>
      <c r="AD1839" t="s">
        <v>72</v>
      </c>
      <c r="AE1839" t="s">
        <v>76</v>
      </c>
      <c r="AF1839" t="s">
        <v>3961</v>
      </c>
      <c r="AG1839" t="s">
        <v>77</v>
      </c>
    </row>
    <row r="1840" spans="1:33" x14ac:dyDescent="0.25">
      <c r="A1840" t="str">
        <f>"1750398160"</f>
        <v>1750398160</v>
      </c>
      <c r="B1840" t="str">
        <f>"01505182"</f>
        <v>01505182</v>
      </c>
      <c r="C1840" t="s">
        <v>9905</v>
      </c>
      <c r="D1840" t="s">
        <v>1635</v>
      </c>
      <c r="E1840" t="s">
        <v>1636</v>
      </c>
      <c r="G1840" t="s">
        <v>7074</v>
      </c>
      <c r="H1840" t="s">
        <v>1637</v>
      </c>
      <c r="J1840" t="s">
        <v>7075</v>
      </c>
      <c r="L1840" t="s">
        <v>80</v>
      </c>
      <c r="M1840" t="s">
        <v>72</v>
      </c>
      <c r="R1840" t="s">
        <v>1638</v>
      </c>
      <c r="W1840" t="s">
        <v>1636</v>
      </c>
      <c r="X1840" t="s">
        <v>687</v>
      </c>
      <c r="Y1840" t="s">
        <v>326</v>
      </c>
      <c r="Z1840" t="s">
        <v>73</v>
      </c>
      <c r="AA1840" t="str">
        <f>"14127-1934"</f>
        <v>14127-1934</v>
      </c>
      <c r="AB1840" t="s">
        <v>74</v>
      </c>
      <c r="AC1840" t="s">
        <v>75</v>
      </c>
      <c r="AD1840" t="s">
        <v>72</v>
      </c>
      <c r="AE1840" t="s">
        <v>76</v>
      </c>
      <c r="AF1840" t="s">
        <v>3961</v>
      </c>
      <c r="AG1840" t="s">
        <v>77</v>
      </c>
    </row>
    <row r="1841" spans="1:33" x14ac:dyDescent="0.25">
      <c r="A1841" t="str">
        <f>"1295722460"</f>
        <v>1295722460</v>
      </c>
      <c r="B1841" t="str">
        <f>"00475232"</f>
        <v>00475232</v>
      </c>
      <c r="C1841" t="s">
        <v>9906</v>
      </c>
      <c r="D1841" t="s">
        <v>3881</v>
      </c>
      <c r="E1841" t="s">
        <v>3882</v>
      </c>
      <c r="G1841" t="s">
        <v>3865</v>
      </c>
      <c r="H1841" t="s">
        <v>3866</v>
      </c>
      <c r="J1841" t="s">
        <v>3867</v>
      </c>
      <c r="L1841" t="s">
        <v>97</v>
      </c>
      <c r="M1841" t="s">
        <v>81</v>
      </c>
      <c r="R1841" t="s">
        <v>3883</v>
      </c>
      <c r="W1841" t="s">
        <v>3882</v>
      </c>
      <c r="X1841" t="s">
        <v>2200</v>
      </c>
      <c r="Y1841" t="s">
        <v>247</v>
      </c>
      <c r="Z1841" t="s">
        <v>73</v>
      </c>
      <c r="AA1841" t="str">
        <f>"14227-2234"</f>
        <v>14227-2234</v>
      </c>
      <c r="AB1841" t="s">
        <v>98</v>
      </c>
      <c r="AC1841" t="s">
        <v>75</v>
      </c>
      <c r="AD1841" t="s">
        <v>72</v>
      </c>
      <c r="AE1841" t="s">
        <v>76</v>
      </c>
      <c r="AF1841" t="s">
        <v>4059</v>
      </c>
      <c r="AG1841" t="s">
        <v>77</v>
      </c>
    </row>
    <row r="1842" spans="1:33" x14ac:dyDescent="0.25">
      <c r="A1842" t="str">
        <f>"1427163310"</f>
        <v>1427163310</v>
      </c>
      <c r="B1842" t="str">
        <f>"02878935"</f>
        <v>02878935</v>
      </c>
      <c r="C1842" t="s">
        <v>9907</v>
      </c>
      <c r="D1842" t="s">
        <v>818</v>
      </c>
      <c r="E1842" t="s">
        <v>819</v>
      </c>
      <c r="G1842" t="s">
        <v>3952</v>
      </c>
      <c r="H1842" t="s">
        <v>3953</v>
      </c>
      <c r="J1842" t="s">
        <v>3954</v>
      </c>
      <c r="L1842" t="s">
        <v>79</v>
      </c>
      <c r="M1842" t="s">
        <v>72</v>
      </c>
      <c r="R1842" t="s">
        <v>820</v>
      </c>
      <c r="W1842" t="s">
        <v>819</v>
      </c>
      <c r="X1842" t="s">
        <v>821</v>
      </c>
      <c r="Y1842" t="s">
        <v>217</v>
      </c>
      <c r="Z1842" t="s">
        <v>73</v>
      </c>
      <c r="AA1842" t="str">
        <f>"14760-1825"</f>
        <v>14760-1825</v>
      </c>
      <c r="AB1842" t="s">
        <v>74</v>
      </c>
      <c r="AC1842" t="s">
        <v>75</v>
      </c>
      <c r="AD1842" t="s">
        <v>72</v>
      </c>
      <c r="AE1842" t="s">
        <v>76</v>
      </c>
      <c r="AG1842" t="s">
        <v>77</v>
      </c>
    </row>
    <row r="1843" spans="1:33" x14ac:dyDescent="0.25">
      <c r="A1843" t="str">
        <f>"1326010216"</f>
        <v>1326010216</v>
      </c>
      <c r="B1843" t="str">
        <f>"01248315"</f>
        <v>01248315</v>
      </c>
      <c r="C1843" t="s">
        <v>9908</v>
      </c>
      <c r="D1843" t="s">
        <v>9909</v>
      </c>
      <c r="E1843" t="s">
        <v>9910</v>
      </c>
      <c r="G1843" t="s">
        <v>9908</v>
      </c>
      <c r="H1843" t="s">
        <v>4732</v>
      </c>
      <c r="J1843" t="s">
        <v>9911</v>
      </c>
      <c r="L1843" t="s">
        <v>79</v>
      </c>
      <c r="M1843" t="s">
        <v>72</v>
      </c>
      <c r="R1843" t="s">
        <v>9912</v>
      </c>
      <c r="W1843" t="s">
        <v>9910</v>
      </c>
      <c r="X1843" t="s">
        <v>9913</v>
      </c>
      <c r="Y1843" t="s">
        <v>117</v>
      </c>
      <c r="Z1843" t="s">
        <v>73</v>
      </c>
      <c r="AA1843" t="str">
        <f>"14220-2039"</f>
        <v>14220-2039</v>
      </c>
      <c r="AB1843" t="s">
        <v>74</v>
      </c>
      <c r="AC1843" t="s">
        <v>75</v>
      </c>
      <c r="AD1843" t="s">
        <v>72</v>
      </c>
      <c r="AE1843" t="s">
        <v>76</v>
      </c>
      <c r="AF1843" t="s">
        <v>3974</v>
      </c>
      <c r="AG1843" t="s">
        <v>77</v>
      </c>
    </row>
    <row r="1844" spans="1:33" x14ac:dyDescent="0.25">
      <c r="A1844" t="str">
        <f>"1184699670"</f>
        <v>1184699670</v>
      </c>
      <c r="B1844" t="str">
        <f>"01877825"</f>
        <v>01877825</v>
      </c>
      <c r="C1844" t="s">
        <v>9914</v>
      </c>
      <c r="D1844" t="s">
        <v>3279</v>
      </c>
      <c r="E1844" t="s">
        <v>3280</v>
      </c>
      <c r="G1844" t="s">
        <v>4047</v>
      </c>
      <c r="H1844" t="s">
        <v>634</v>
      </c>
      <c r="J1844" t="s">
        <v>4048</v>
      </c>
      <c r="L1844" t="s">
        <v>80</v>
      </c>
      <c r="M1844" t="s">
        <v>72</v>
      </c>
      <c r="R1844" t="s">
        <v>3281</v>
      </c>
      <c r="W1844" t="s">
        <v>3280</v>
      </c>
      <c r="X1844" t="s">
        <v>3282</v>
      </c>
      <c r="Y1844" t="s">
        <v>354</v>
      </c>
      <c r="Z1844" t="s">
        <v>73</v>
      </c>
      <c r="AA1844" t="str">
        <f>"14787-1121"</f>
        <v>14787-1121</v>
      </c>
      <c r="AB1844" t="s">
        <v>74</v>
      </c>
      <c r="AC1844" t="s">
        <v>75</v>
      </c>
      <c r="AD1844" t="s">
        <v>72</v>
      </c>
      <c r="AE1844" t="s">
        <v>76</v>
      </c>
      <c r="AF1844" t="s">
        <v>4049</v>
      </c>
      <c r="AG1844" t="s">
        <v>77</v>
      </c>
    </row>
    <row r="1845" spans="1:33" x14ac:dyDescent="0.25">
      <c r="A1845" t="str">
        <f>"1386871572"</f>
        <v>1386871572</v>
      </c>
      <c r="B1845" t="str">
        <f>"03114909"</f>
        <v>03114909</v>
      </c>
      <c r="C1845" t="s">
        <v>9915</v>
      </c>
      <c r="D1845" t="s">
        <v>9916</v>
      </c>
      <c r="E1845" t="s">
        <v>9917</v>
      </c>
      <c r="L1845" t="s">
        <v>79</v>
      </c>
      <c r="M1845" t="s">
        <v>72</v>
      </c>
      <c r="R1845" t="s">
        <v>9918</v>
      </c>
      <c r="W1845" t="s">
        <v>9917</v>
      </c>
      <c r="X1845" t="s">
        <v>7009</v>
      </c>
      <c r="Y1845" t="s">
        <v>479</v>
      </c>
      <c r="Z1845" t="s">
        <v>73</v>
      </c>
      <c r="AA1845" t="str">
        <f>"14141-1244"</f>
        <v>14141-1244</v>
      </c>
      <c r="AB1845" t="s">
        <v>74</v>
      </c>
      <c r="AC1845" t="s">
        <v>75</v>
      </c>
      <c r="AD1845" t="s">
        <v>72</v>
      </c>
      <c r="AE1845" t="s">
        <v>76</v>
      </c>
      <c r="AF1845" t="s">
        <v>4043</v>
      </c>
      <c r="AG1845" t="s">
        <v>77</v>
      </c>
    </row>
    <row r="1846" spans="1:33" x14ac:dyDescent="0.25">
      <c r="A1846" t="str">
        <f>"1730178088"</f>
        <v>1730178088</v>
      </c>
      <c r="B1846" t="str">
        <f>"03335802"</f>
        <v>03335802</v>
      </c>
      <c r="C1846" t="s">
        <v>9919</v>
      </c>
      <c r="D1846" t="s">
        <v>9920</v>
      </c>
      <c r="E1846" t="s">
        <v>9921</v>
      </c>
      <c r="L1846" t="s">
        <v>79</v>
      </c>
      <c r="M1846" t="s">
        <v>72</v>
      </c>
      <c r="R1846" t="s">
        <v>9922</v>
      </c>
      <c r="W1846" t="s">
        <v>9923</v>
      </c>
      <c r="X1846" t="s">
        <v>9204</v>
      </c>
      <c r="Y1846" t="s">
        <v>240</v>
      </c>
      <c r="Z1846" t="s">
        <v>73</v>
      </c>
      <c r="AA1846" t="str">
        <f>"14094-1128"</f>
        <v>14094-1128</v>
      </c>
      <c r="AB1846" t="s">
        <v>74</v>
      </c>
      <c r="AC1846" t="s">
        <v>75</v>
      </c>
      <c r="AD1846" t="s">
        <v>72</v>
      </c>
      <c r="AE1846" t="s">
        <v>76</v>
      </c>
      <c r="AF1846" t="s">
        <v>4043</v>
      </c>
      <c r="AG1846" t="s">
        <v>77</v>
      </c>
    </row>
    <row r="1847" spans="1:33" x14ac:dyDescent="0.25">
      <c r="A1847" t="str">
        <f>"1528195617"</f>
        <v>1528195617</v>
      </c>
      <c r="B1847" t="str">
        <f>"02953244"</f>
        <v>02953244</v>
      </c>
      <c r="C1847" t="s">
        <v>9924</v>
      </c>
      <c r="D1847" t="s">
        <v>9925</v>
      </c>
      <c r="E1847" t="s">
        <v>9926</v>
      </c>
      <c r="L1847" t="s">
        <v>79</v>
      </c>
      <c r="M1847" t="s">
        <v>72</v>
      </c>
      <c r="R1847" t="s">
        <v>9927</v>
      </c>
      <c r="W1847" t="s">
        <v>9928</v>
      </c>
      <c r="X1847" t="s">
        <v>173</v>
      </c>
      <c r="Y1847" t="s">
        <v>117</v>
      </c>
      <c r="Z1847" t="s">
        <v>73</v>
      </c>
      <c r="AA1847" t="str">
        <f>"14222-2006"</f>
        <v>14222-2006</v>
      </c>
      <c r="AB1847" t="s">
        <v>74</v>
      </c>
      <c r="AC1847" t="s">
        <v>75</v>
      </c>
      <c r="AD1847" t="s">
        <v>72</v>
      </c>
      <c r="AE1847" t="s">
        <v>76</v>
      </c>
      <c r="AF1847" t="s">
        <v>3974</v>
      </c>
      <c r="AG1847" t="s">
        <v>77</v>
      </c>
    </row>
    <row r="1848" spans="1:33" x14ac:dyDescent="0.25">
      <c r="A1848" t="str">
        <f>"1245289727"</f>
        <v>1245289727</v>
      </c>
      <c r="B1848" t="str">
        <f>"01627316"</f>
        <v>01627316</v>
      </c>
      <c r="C1848" t="s">
        <v>9929</v>
      </c>
      <c r="D1848" t="s">
        <v>1850</v>
      </c>
      <c r="E1848" t="s">
        <v>1851</v>
      </c>
      <c r="L1848" t="s">
        <v>71</v>
      </c>
      <c r="M1848" t="s">
        <v>72</v>
      </c>
      <c r="R1848" t="s">
        <v>1852</v>
      </c>
      <c r="W1848" t="s">
        <v>1851</v>
      </c>
      <c r="X1848" t="s">
        <v>1853</v>
      </c>
      <c r="Y1848" t="s">
        <v>317</v>
      </c>
      <c r="Z1848" t="s">
        <v>73</v>
      </c>
      <c r="AA1848" t="str">
        <f>"14218-1626"</f>
        <v>14218-1626</v>
      </c>
      <c r="AB1848" t="s">
        <v>74</v>
      </c>
      <c r="AC1848" t="s">
        <v>75</v>
      </c>
      <c r="AD1848" t="s">
        <v>72</v>
      </c>
      <c r="AE1848" t="s">
        <v>76</v>
      </c>
      <c r="AF1848" t="s">
        <v>4043</v>
      </c>
      <c r="AG1848" t="s">
        <v>77</v>
      </c>
    </row>
    <row r="1849" spans="1:33" x14ac:dyDescent="0.25">
      <c r="A1849" t="str">
        <f>"1598198772"</f>
        <v>1598198772</v>
      </c>
      <c r="B1849" t="str">
        <f>"04334290"</f>
        <v>04334290</v>
      </c>
      <c r="C1849" t="s">
        <v>9930</v>
      </c>
      <c r="D1849" t="s">
        <v>9931</v>
      </c>
      <c r="E1849" t="s">
        <v>9932</v>
      </c>
      <c r="L1849" t="s">
        <v>71</v>
      </c>
      <c r="M1849" t="s">
        <v>72</v>
      </c>
      <c r="R1849" t="s">
        <v>9933</v>
      </c>
      <c r="W1849" t="s">
        <v>9932</v>
      </c>
      <c r="X1849" t="s">
        <v>9934</v>
      </c>
      <c r="Y1849" t="s">
        <v>237</v>
      </c>
      <c r="Z1849" t="s">
        <v>73</v>
      </c>
      <c r="AA1849" t="str">
        <f>"14224-1946"</f>
        <v>14224-1946</v>
      </c>
      <c r="AB1849" t="s">
        <v>74</v>
      </c>
      <c r="AC1849" t="s">
        <v>75</v>
      </c>
      <c r="AD1849" t="s">
        <v>72</v>
      </c>
      <c r="AE1849" t="s">
        <v>76</v>
      </c>
      <c r="AF1849" t="s">
        <v>3961</v>
      </c>
      <c r="AG1849" t="s">
        <v>77</v>
      </c>
    </row>
    <row r="1850" spans="1:33" x14ac:dyDescent="0.25">
      <c r="A1850" t="str">
        <f>"1033131388"</f>
        <v>1033131388</v>
      </c>
      <c r="B1850" t="str">
        <f>"02651590"</f>
        <v>02651590</v>
      </c>
      <c r="C1850" t="s">
        <v>9935</v>
      </c>
      <c r="D1850" t="s">
        <v>9936</v>
      </c>
      <c r="E1850" t="s">
        <v>9937</v>
      </c>
      <c r="L1850" t="s">
        <v>79</v>
      </c>
      <c r="M1850" t="s">
        <v>72</v>
      </c>
      <c r="R1850" t="s">
        <v>9938</v>
      </c>
      <c r="W1850" t="s">
        <v>9939</v>
      </c>
      <c r="X1850" t="s">
        <v>5884</v>
      </c>
      <c r="Y1850" t="s">
        <v>326</v>
      </c>
      <c r="Z1850" t="s">
        <v>73</v>
      </c>
      <c r="AA1850" t="str">
        <f>"14127-1705"</f>
        <v>14127-1705</v>
      </c>
      <c r="AB1850" t="s">
        <v>74</v>
      </c>
      <c r="AC1850" t="s">
        <v>75</v>
      </c>
      <c r="AD1850" t="s">
        <v>72</v>
      </c>
      <c r="AE1850" t="s">
        <v>76</v>
      </c>
      <c r="AF1850" t="s">
        <v>3961</v>
      </c>
      <c r="AG1850" t="s">
        <v>77</v>
      </c>
    </row>
    <row r="1851" spans="1:33" x14ac:dyDescent="0.25">
      <c r="A1851" t="str">
        <f>"1609830942"</f>
        <v>1609830942</v>
      </c>
      <c r="B1851" t="str">
        <f>"02430844"</f>
        <v>02430844</v>
      </c>
      <c r="C1851" t="s">
        <v>9940</v>
      </c>
      <c r="D1851" t="s">
        <v>1381</v>
      </c>
      <c r="E1851" t="s">
        <v>1382</v>
      </c>
      <c r="L1851" t="s">
        <v>79</v>
      </c>
      <c r="M1851" t="s">
        <v>72</v>
      </c>
      <c r="R1851" t="s">
        <v>1383</v>
      </c>
      <c r="W1851" t="s">
        <v>1384</v>
      </c>
      <c r="X1851" t="s">
        <v>798</v>
      </c>
      <c r="Y1851" t="s">
        <v>221</v>
      </c>
      <c r="Z1851" t="s">
        <v>73</v>
      </c>
      <c r="AA1851" t="str">
        <f>"14221-2917"</f>
        <v>14221-2917</v>
      </c>
      <c r="AB1851" t="s">
        <v>74</v>
      </c>
      <c r="AC1851" t="s">
        <v>75</v>
      </c>
      <c r="AD1851" t="s">
        <v>72</v>
      </c>
      <c r="AE1851" t="s">
        <v>76</v>
      </c>
      <c r="AF1851" t="s">
        <v>3974</v>
      </c>
      <c r="AG1851" t="s">
        <v>77</v>
      </c>
    </row>
    <row r="1852" spans="1:33" x14ac:dyDescent="0.25">
      <c r="A1852" t="str">
        <f>"1821095878"</f>
        <v>1821095878</v>
      </c>
      <c r="B1852" t="str">
        <f>"02522970"</f>
        <v>02522970</v>
      </c>
      <c r="C1852" t="s">
        <v>9941</v>
      </c>
      <c r="D1852" t="s">
        <v>9942</v>
      </c>
      <c r="E1852" t="s">
        <v>9943</v>
      </c>
      <c r="L1852" t="s">
        <v>71</v>
      </c>
      <c r="M1852" t="s">
        <v>72</v>
      </c>
      <c r="R1852" t="s">
        <v>9944</v>
      </c>
      <c r="W1852" t="s">
        <v>9945</v>
      </c>
      <c r="X1852" t="s">
        <v>9946</v>
      </c>
      <c r="Y1852" t="s">
        <v>221</v>
      </c>
      <c r="Z1852" t="s">
        <v>73</v>
      </c>
      <c r="AA1852" t="str">
        <f>"14221-5260"</f>
        <v>14221-5260</v>
      </c>
      <c r="AB1852" t="s">
        <v>74</v>
      </c>
      <c r="AC1852" t="s">
        <v>75</v>
      </c>
      <c r="AD1852" t="s">
        <v>72</v>
      </c>
      <c r="AE1852" t="s">
        <v>76</v>
      </c>
      <c r="AF1852" t="s">
        <v>3974</v>
      </c>
      <c r="AG1852" t="s">
        <v>77</v>
      </c>
    </row>
    <row r="1853" spans="1:33" x14ac:dyDescent="0.25">
      <c r="A1853" t="str">
        <f>"1902874688"</f>
        <v>1902874688</v>
      </c>
      <c r="B1853" t="str">
        <f>"02699627"</f>
        <v>02699627</v>
      </c>
      <c r="C1853" t="s">
        <v>9947</v>
      </c>
      <c r="D1853" t="s">
        <v>9948</v>
      </c>
      <c r="E1853" t="s">
        <v>9949</v>
      </c>
      <c r="L1853" t="s">
        <v>79</v>
      </c>
      <c r="M1853" t="s">
        <v>72</v>
      </c>
      <c r="R1853" t="s">
        <v>9950</v>
      </c>
      <c r="W1853" t="s">
        <v>9951</v>
      </c>
      <c r="X1853" t="s">
        <v>9952</v>
      </c>
      <c r="Y1853" t="s">
        <v>1093</v>
      </c>
      <c r="Z1853" t="s">
        <v>73</v>
      </c>
      <c r="AA1853" t="str">
        <f>"14052-2540"</f>
        <v>14052-2540</v>
      </c>
      <c r="AB1853" t="s">
        <v>74</v>
      </c>
      <c r="AC1853" t="s">
        <v>75</v>
      </c>
      <c r="AD1853" t="s">
        <v>72</v>
      </c>
      <c r="AE1853" t="s">
        <v>76</v>
      </c>
      <c r="AF1853" t="s">
        <v>3961</v>
      </c>
      <c r="AG1853" t="s">
        <v>77</v>
      </c>
    </row>
    <row r="1854" spans="1:33" x14ac:dyDescent="0.25">
      <c r="A1854" t="str">
        <f>"1881027845"</f>
        <v>1881027845</v>
      </c>
      <c r="B1854" t="str">
        <f>"03690622"</f>
        <v>03690622</v>
      </c>
      <c r="C1854" t="s">
        <v>9953</v>
      </c>
      <c r="D1854" t="s">
        <v>3310</v>
      </c>
      <c r="E1854" t="s">
        <v>3311</v>
      </c>
      <c r="L1854" t="s">
        <v>71</v>
      </c>
      <c r="M1854" t="s">
        <v>72</v>
      </c>
      <c r="R1854" t="s">
        <v>3312</v>
      </c>
      <c r="W1854" t="s">
        <v>3311</v>
      </c>
      <c r="X1854" t="s">
        <v>1592</v>
      </c>
      <c r="Y1854" t="s">
        <v>209</v>
      </c>
      <c r="Z1854" t="s">
        <v>73</v>
      </c>
      <c r="AA1854" t="str">
        <f>"14304-2875"</f>
        <v>14304-2875</v>
      </c>
      <c r="AB1854" t="s">
        <v>74</v>
      </c>
      <c r="AC1854" t="s">
        <v>75</v>
      </c>
      <c r="AD1854" t="s">
        <v>72</v>
      </c>
      <c r="AE1854" t="s">
        <v>76</v>
      </c>
      <c r="AF1854" t="s">
        <v>4043</v>
      </c>
      <c r="AG1854" t="s">
        <v>77</v>
      </c>
    </row>
    <row r="1855" spans="1:33" x14ac:dyDescent="0.25">
      <c r="A1855" t="str">
        <f>"1831458603"</f>
        <v>1831458603</v>
      </c>
      <c r="B1855" t="str">
        <f>"03496962"</f>
        <v>03496962</v>
      </c>
      <c r="C1855" t="s">
        <v>9954</v>
      </c>
      <c r="D1855" t="s">
        <v>1764</v>
      </c>
      <c r="E1855" t="s">
        <v>1765</v>
      </c>
      <c r="L1855" t="s">
        <v>79</v>
      </c>
      <c r="M1855" t="s">
        <v>72</v>
      </c>
      <c r="R1855" t="s">
        <v>1766</v>
      </c>
      <c r="W1855" t="s">
        <v>1767</v>
      </c>
      <c r="X1855" t="s">
        <v>1768</v>
      </c>
      <c r="Y1855" t="s">
        <v>228</v>
      </c>
      <c r="Z1855" t="s">
        <v>73</v>
      </c>
      <c r="AA1855" t="str">
        <f>"14226-2500"</f>
        <v>14226-2500</v>
      </c>
      <c r="AB1855" t="s">
        <v>74</v>
      </c>
      <c r="AC1855" t="s">
        <v>75</v>
      </c>
      <c r="AD1855" t="s">
        <v>72</v>
      </c>
      <c r="AE1855" t="s">
        <v>76</v>
      </c>
      <c r="AF1855" t="s">
        <v>3974</v>
      </c>
      <c r="AG1855" t="s">
        <v>77</v>
      </c>
    </row>
    <row r="1856" spans="1:33" x14ac:dyDescent="0.25">
      <c r="A1856" t="str">
        <f>"1023247921"</f>
        <v>1023247921</v>
      </c>
      <c r="B1856" t="str">
        <f>"03632097"</f>
        <v>03632097</v>
      </c>
      <c r="C1856" t="s">
        <v>9955</v>
      </c>
      <c r="D1856" t="s">
        <v>9956</v>
      </c>
      <c r="E1856" t="s">
        <v>9957</v>
      </c>
      <c r="L1856" t="s">
        <v>79</v>
      </c>
      <c r="M1856" t="s">
        <v>72</v>
      </c>
      <c r="R1856" t="s">
        <v>9958</v>
      </c>
      <c r="W1856" t="s">
        <v>9957</v>
      </c>
      <c r="X1856" t="s">
        <v>204</v>
      </c>
      <c r="Y1856" t="s">
        <v>117</v>
      </c>
      <c r="Z1856" t="s">
        <v>73</v>
      </c>
      <c r="AA1856" t="str">
        <f>"14263-0001"</f>
        <v>14263-0001</v>
      </c>
      <c r="AB1856" t="s">
        <v>74</v>
      </c>
      <c r="AC1856" t="s">
        <v>75</v>
      </c>
      <c r="AD1856" t="s">
        <v>72</v>
      </c>
      <c r="AE1856" t="s">
        <v>76</v>
      </c>
      <c r="AF1856" t="s">
        <v>4043</v>
      </c>
      <c r="AG1856" t="s">
        <v>77</v>
      </c>
    </row>
    <row r="1857" spans="1:33" x14ac:dyDescent="0.25">
      <c r="A1857" t="str">
        <f>"1740403526"</f>
        <v>1740403526</v>
      </c>
      <c r="B1857" t="str">
        <f>"03106205"</f>
        <v>03106205</v>
      </c>
      <c r="C1857" t="s">
        <v>9959</v>
      </c>
      <c r="D1857" t="s">
        <v>9960</v>
      </c>
      <c r="E1857" t="s">
        <v>9961</v>
      </c>
      <c r="L1857" t="s">
        <v>79</v>
      </c>
      <c r="M1857" t="s">
        <v>72</v>
      </c>
      <c r="R1857" t="s">
        <v>9962</v>
      </c>
      <c r="W1857" t="s">
        <v>9961</v>
      </c>
      <c r="X1857" t="s">
        <v>204</v>
      </c>
      <c r="Y1857" t="s">
        <v>117</v>
      </c>
      <c r="Z1857" t="s">
        <v>73</v>
      </c>
      <c r="AA1857" t="str">
        <f>"14263-0001"</f>
        <v>14263-0001</v>
      </c>
      <c r="AB1857" t="s">
        <v>74</v>
      </c>
      <c r="AC1857" t="s">
        <v>75</v>
      </c>
      <c r="AD1857" t="s">
        <v>72</v>
      </c>
      <c r="AE1857" t="s">
        <v>76</v>
      </c>
      <c r="AF1857" t="s">
        <v>4043</v>
      </c>
      <c r="AG1857" t="s">
        <v>77</v>
      </c>
    </row>
    <row r="1858" spans="1:33" x14ac:dyDescent="0.25">
      <c r="A1858" t="str">
        <f>"1548576291"</f>
        <v>1548576291</v>
      </c>
      <c r="B1858" t="str">
        <f>"03253674"</f>
        <v>03253674</v>
      </c>
      <c r="C1858" t="s">
        <v>9963</v>
      </c>
      <c r="D1858" t="s">
        <v>9964</v>
      </c>
      <c r="E1858" t="s">
        <v>9965</v>
      </c>
      <c r="L1858" t="s">
        <v>79</v>
      </c>
      <c r="M1858" t="s">
        <v>72</v>
      </c>
      <c r="R1858" t="s">
        <v>9966</v>
      </c>
      <c r="W1858" t="s">
        <v>9965</v>
      </c>
      <c r="X1858" t="s">
        <v>295</v>
      </c>
      <c r="Y1858" t="s">
        <v>117</v>
      </c>
      <c r="Z1858" t="s">
        <v>73</v>
      </c>
      <c r="AA1858" t="str">
        <f>"14215-3021"</f>
        <v>14215-3021</v>
      </c>
      <c r="AB1858" t="s">
        <v>74</v>
      </c>
      <c r="AC1858" t="s">
        <v>75</v>
      </c>
      <c r="AD1858" t="s">
        <v>72</v>
      </c>
      <c r="AE1858" t="s">
        <v>76</v>
      </c>
      <c r="AF1858" t="s">
        <v>4043</v>
      </c>
      <c r="AG1858" t="s">
        <v>77</v>
      </c>
    </row>
    <row r="1859" spans="1:33" x14ac:dyDescent="0.25">
      <c r="A1859" t="str">
        <f>"1316120355"</f>
        <v>1316120355</v>
      </c>
      <c r="B1859" t="str">
        <f>"03343799"</f>
        <v>03343799</v>
      </c>
      <c r="C1859" t="s">
        <v>9967</v>
      </c>
      <c r="D1859" t="s">
        <v>9968</v>
      </c>
      <c r="E1859" t="s">
        <v>9969</v>
      </c>
      <c r="L1859" t="s">
        <v>79</v>
      </c>
      <c r="M1859" t="s">
        <v>72</v>
      </c>
      <c r="R1859" t="s">
        <v>9970</v>
      </c>
      <c r="W1859" t="s">
        <v>9969</v>
      </c>
      <c r="X1859" t="s">
        <v>204</v>
      </c>
      <c r="Y1859" t="s">
        <v>117</v>
      </c>
      <c r="Z1859" t="s">
        <v>73</v>
      </c>
      <c r="AA1859" t="str">
        <f t="shared" ref="AA1859:AA1864" si="17">"14263-0001"</f>
        <v>14263-0001</v>
      </c>
      <c r="AB1859" t="s">
        <v>74</v>
      </c>
      <c r="AC1859" t="s">
        <v>75</v>
      </c>
      <c r="AD1859" t="s">
        <v>72</v>
      </c>
      <c r="AE1859" t="s">
        <v>76</v>
      </c>
      <c r="AF1859" t="s">
        <v>4043</v>
      </c>
      <c r="AG1859" t="s">
        <v>77</v>
      </c>
    </row>
    <row r="1860" spans="1:33" x14ac:dyDescent="0.25">
      <c r="A1860" t="str">
        <f>"1447215991"</f>
        <v>1447215991</v>
      </c>
      <c r="B1860" t="str">
        <f>"02376227"</f>
        <v>02376227</v>
      </c>
      <c r="C1860" t="s">
        <v>9971</v>
      </c>
      <c r="D1860" t="s">
        <v>9972</v>
      </c>
      <c r="E1860" t="s">
        <v>9973</v>
      </c>
      <c r="L1860" t="s">
        <v>71</v>
      </c>
      <c r="M1860" t="s">
        <v>72</v>
      </c>
      <c r="R1860" t="s">
        <v>9974</v>
      </c>
      <c r="W1860" t="s">
        <v>9973</v>
      </c>
      <c r="X1860" t="s">
        <v>204</v>
      </c>
      <c r="Y1860" t="s">
        <v>117</v>
      </c>
      <c r="Z1860" t="s">
        <v>73</v>
      </c>
      <c r="AA1860" t="str">
        <f t="shared" si="17"/>
        <v>14263-0001</v>
      </c>
      <c r="AB1860" t="s">
        <v>74</v>
      </c>
      <c r="AC1860" t="s">
        <v>75</v>
      </c>
      <c r="AD1860" t="s">
        <v>72</v>
      </c>
      <c r="AE1860" t="s">
        <v>76</v>
      </c>
      <c r="AF1860" t="s">
        <v>4043</v>
      </c>
      <c r="AG1860" t="s">
        <v>77</v>
      </c>
    </row>
    <row r="1861" spans="1:33" x14ac:dyDescent="0.25">
      <c r="A1861" t="str">
        <f>"1588667083"</f>
        <v>1588667083</v>
      </c>
      <c r="B1861" t="str">
        <f>"02344021"</f>
        <v>02344021</v>
      </c>
      <c r="C1861" t="s">
        <v>9975</v>
      </c>
      <c r="D1861" t="s">
        <v>3940</v>
      </c>
      <c r="E1861" t="s">
        <v>3941</v>
      </c>
      <c r="L1861" t="s">
        <v>79</v>
      </c>
      <c r="M1861" t="s">
        <v>72</v>
      </c>
      <c r="R1861" t="s">
        <v>3942</v>
      </c>
      <c r="W1861" t="s">
        <v>3943</v>
      </c>
      <c r="X1861" t="s">
        <v>204</v>
      </c>
      <c r="Y1861" t="s">
        <v>117</v>
      </c>
      <c r="Z1861" t="s">
        <v>73</v>
      </c>
      <c r="AA1861" t="str">
        <f t="shared" si="17"/>
        <v>14263-0001</v>
      </c>
      <c r="AB1861" t="s">
        <v>74</v>
      </c>
      <c r="AC1861" t="s">
        <v>75</v>
      </c>
      <c r="AD1861" t="s">
        <v>72</v>
      </c>
      <c r="AE1861" t="s">
        <v>76</v>
      </c>
      <c r="AF1861" t="s">
        <v>4043</v>
      </c>
      <c r="AG1861" t="s">
        <v>77</v>
      </c>
    </row>
    <row r="1862" spans="1:33" x14ac:dyDescent="0.25">
      <c r="A1862" t="str">
        <f>"1538494844"</f>
        <v>1538494844</v>
      </c>
      <c r="B1862" t="str">
        <f>"03643083"</f>
        <v>03643083</v>
      </c>
      <c r="C1862" t="s">
        <v>9976</v>
      </c>
      <c r="D1862" t="s">
        <v>9977</v>
      </c>
      <c r="E1862" t="s">
        <v>9978</v>
      </c>
      <c r="L1862" t="s">
        <v>71</v>
      </c>
      <c r="M1862" t="s">
        <v>72</v>
      </c>
      <c r="R1862" t="s">
        <v>9978</v>
      </c>
      <c r="W1862" t="s">
        <v>9978</v>
      </c>
      <c r="X1862" t="s">
        <v>204</v>
      </c>
      <c r="Y1862" t="s">
        <v>117</v>
      </c>
      <c r="Z1862" t="s">
        <v>73</v>
      </c>
      <c r="AA1862" t="str">
        <f t="shared" si="17"/>
        <v>14263-0001</v>
      </c>
      <c r="AB1862" t="s">
        <v>74</v>
      </c>
      <c r="AC1862" t="s">
        <v>75</v>
      </c>
      <c r="AD1862" t="s">
        <v>72</v>
      </c>
      <c r="AE1862" t="s">
        <v>76</v>
      </c>
      <c r="AF1862" t="s">
        <v>4043</v>
      </c>
      <c r="AG1862" t="s">
        <v>77</v>
      </c>
    </row>
    <row r="1863" spans="1:33" x14ac:dyDescent="0.25">
      <c r="A1863" t="str">
        <f>"1639204829"</f>
        <v>1639204829</v>
      </c>
      <c r="B1863" t="str">
        <f>"03475743"</f>
        <v>03475743</v>
      </c>
      <c r="C1863" t="s">
        <v>9979</v>
      </c>
      <c r="D1863" t="s">
        <v>2439</v>
      </c>
      <c r="E1863" t="s">
        <v>2440</v>
      </c>
      <c r="L1863" t="s">
        <v>79</v>
      </c>
      <c r="M1863" t="s">
        <v>72</v>
      </c>
      <c r="R1863" t="s">
        <v>2441</v>
      </c>
      <c r="W1863" t="s">
        <v>2440</v>
      </c>
      <c r="X1863" t="s">
        <v>204</v>
      </c>
      <c r="Y1863" t="s">
        <v>117</v>
      </c>
      <c r="Z1863" t="s">
        <v>73</v>
      </c>
      <c r="AA1863" t="str">
        <f t="shared" si="17"/>
        <v>14263-0001</v>
      </c>
      <c r="AB1863" t="s">
        <v>74</v>
      </c>
      <c r="AC1863" t="s">
        <v>75</v>
      </c>
      <c r="AD1863" t="s">
        <v>72</v>
      </c>
      <c r="AE1863" t="s">
        <v>76</v>
      </c>
      <c r="AF1863" t="s">
        <v>3961</v>
      </c>
      <c r="AG1863" t="s">
        <v>77</v>
      </c>
    </row>
    <row r="1864" spans="1:33" x14ac:dyDescent="0.25">
      <c r="A1864" t="str">
        <f>"1861626731"</f>
        <v>1861626731</v>
      </c>
      <c r="B1864" t="str">
        <f>"03948327"</f>
        <v>03948327</v>
      </c>
      <c r="C1864" t="s">
        <v>9980</v>
      </c>
      <c r="D1864" t="s">
        <v>9981</v>
      </c>
      <c r="E1864" t="s">
        <v>9982</v>
      </c>
      <c r="L1864" t="s">
        <v>79</v>
      </c>
      <c r="M1864" t="s">
        <v>72</v>
      </c>
      <c r="R1864" t="s">
        <v>9982</v>
      </c>
      <c r="W1864" t="s">
        <v>9982</v>
      </c>
      <c r="X1864" t="s">
        <v>204</v>
      </c>
      <c r="Y1864" t="s">
        <v>117</v>
      </c>
      <c r="Z1864" t="s">
        <v>73</v>
      </c>
      <c r="AA1864" t="str">
        <f t="shared" si="17"/>
        <v>14263-0001</v>
      </c>
      <c r="AB1864" t="s">
        <v>74</v>
      </c>
      <c r="AC1864" t="s">
        <v>75</v>
      </c>
      <c r="AD1864" t="s">
        <v>72</v>
      </c>
      <c r="AE1864" t="s">
        <v>76</v>
      </c>
      <c r="AF1864" t="s">
        <v>4043</v>
      </c>
      <c r="AG1864" t="s">
        <v>77</v>
      </c>
    </row>
    <row r="1865" spans="1:33" x14ac:dyDescent="0.25">
      <c r="A1865" t="str">
        <f>"1366447567"</f>
        <v>1366447567</v>
      </c>
      <c r="B1865" t="str">
        <f>"01781442"</f>
        <v>01781442</v>
      </c>
      <c r="C1865" t="s">
        <v>9983</v>
      </c>
      <c r="D1865" t="s">
        <v>2183</v>
      </c>
      <c r="E1865" t="s">
        <v>2184</v>
      </c>
      <c r="L1865" t="s">
        <v>79</v>
      </c>
      <c r="M1865" t="s">
        <v>72</v>
      </c>
      <c r="R1865" t="s">
        <v>2185</v>
      </c>
      <c r="W1865" t="s">
        <v>2184</v>
      </c>
      <c r="X1865" t="s">
        <v>421</v>
      </c>
      <c r="Y1865" t="s">
        <v>307</v>
      </c>
      <c r="Z1865" t="s">
        <v>73</v>
      </c>
      <c r="AA1865" t="str">
        <f>"14020-2260"</f>
        <v>14020-2260</v>
      </c>
      <c r="AB1865" t="s">
        <v>74</v>
      </c>
      <c r="AC1865" t="s">
        <v>75</v>
      </c>
      <c r="AD1865" t="s">
        <v>72</v>
      </c>
      <c r="AE1865" t="s">
        <v>76</v>
      </c>
      <c r="AF1865" t="s">
        <v>4043</v>
      </c>
      <c r="AG1865" t="s">
        <v>77</v>
      </c>
    </row>
    <row r="1866" spans="1:33" x14ac:dyDescent="0.25">
      <c r="A1866" t="str">
        <f>"1962407163"</f>
        <v>1962407163</v>
      </c>
      <c r="B1866" t="str">
        <f>"02564390"</f>
        <v>02564390</v>
      </c>
      <c r="C1866" t="s">
        <v>9984</v>
      </c>
      <c r="D1866" t="s">
        <v>3387</v>
      </c>
      <c r="E1866" t="s">
        <v>3388</v>
      </c>
      <c r="L1866" t="s">
        <v>79</v>
      </c>
      <c r="M1866" t="s">
        <v>72</v>
      </c>
      <c r="R1866" t="s">
        <v>3389</v>
      </c>
      <c r="W1866" t="s">
        <v>3388</v>
      </c>
      <c r="X1866" t="s">
        <v>204</v>
      </c>
      <c r="Y1866" t="s">
        <v>117</v>
      </c>
      <c r="Z1866" t="s">
        <v>73</v>
      </c>
      <c r="AA1866" t="str">
        <f>"14263-0001"</f>
        <v>14263-0001</v>
      </c>
      <c r="AB1866" t="s">
        <v>74</v>
      </c>
      <c r="AC1866" t="s">
        <v>75</v>
      </c>
      <c r="AD1866" t="s">
        <v>72</v>
      </c>
      <c r="AE1866" t="s">
        <v>76</v>
      </c>
      <c r="AF1866" t="s">
        <v>4043</v>
      </c>
      <c r="AG1866" t="s">
        <v>77</v>
      </c>
    </row>
    <row r="1867" spans="1:33" x14ac:dyDescent="0.25">
      <c r="A1867" t="str">
        <f>"1720209216"</f>
        <v>1720209216</v>
      </c>
      <c r="B1867" t="str">
        <f>"03343175"</f>
        <v>03343175</v>
      </c>
      <c r="C1867" t="s">
        <v>9985</v>
      </c>
      <c r="D1867" t="s">
        <v>9986</v>
      </c>
      <c r="E1867" t="s">
        <v>9987</v>
      </c>
      <c r="L1867" t="s">
        <v>71</v>
      </c>
      <c r="M1867" t="s">
        <v>72</v>
      </c>
      <c r="R1867" t="s">
        <v>9988</v>
      </c>
      <c r="W1867" t="s">
        <v>9987</v>
      </c>
      <c r="X1867" t="s">
        <v>9989</v>
      </c>
      <c r="Y1867" t="s">
        <v>149</v>
      </c>
      <c r="Z1867" t="s">
        <v>110</v>
      </c>
      <c r="AA1867" t="str">
        <f>"01608-1216"</f>
        <v>01608-1216</v>
      </c>
      <c r="AB1867" t="s">
        <v>74</v>
      </c>
      <c r="AC1867" t="s">
        <v>75</v>
      </c>
      <c r="AD1867" t="s">
        <v>72</v>
      </c>
      <c r="AE1867" t="s">
        <v>76</v>
      </c>
      <c r="AF1867" t="s">
        <v>4043</v>
      </c>
      <c r="AG1867" t="s">
        <v>77</v>
      </c>
    </row>
    <row r="1868" spans="1:33" x14ac:dyDescent="0.25">
      <c r="A1868" t="str">
        <f>"1609897263"</f>
        <v>1609897263</v>
      </c>
      <c r="B1868" t="str">
        <f>"01159282"</f>
        <v>01159282</v>
      </c>
      <c r="C1868" t="s">
        <v>9990</v>
      </c>
      <c r="D1868" t="s">
        <v>9991</v>
      </c>
      <c r="E1868" t="s">
        <v>9992</v>
      </c>
      <c r="L1868" t="s">
        <v>71</v>
      </c>
      <c r="M1868" t="s">
        <v>72</v>
      </c>
      <c r="R1868" t="s">
        <v>9993</v>
      </c>
      <c r="W1868" t="s">
        <v>9992</v>
      </c>
      <c r="X1868" t="s">
        <v>295</v>
      </c>
      <c r="Y1868" t="s">
        <v>117</v>
      </c>
      <c r="Z1868" t="s">
        <v>73</v>
      </c>
      <c r="AA1868" t="str">
        <f>"14215-3021"</f>
        <v>14215-3021</v>
      </c>
      <c r="AB1868" t="s">
        <v>74</v>
      </c>
      <c r="AC1868" t="s">
        <v>75</v>
      </c>
      <c r="AD1868" t="s">
        <v>72</v>
      </c>
      <c r="AE1868" t="s">
        <v>76</v>
      </c>
      <c r="AF1868" t="s">
        <v>4043</v>
      </c>
      <c r="AG1868" t="s">
        <v>77</v>
      </c>
    </row>
    <row r="1869" spans="1:33" x14ac:dyDescent="0.25">
      <c r="A1869" t="str">
        <f>"1841522489"</f>
        <v>1841522489</v>
      </c>
      <c r="B1869" t="str">
        <f>"03207889"</f>
        <v>03207889</v>
      </c>
      <c r="C1869" t="s">
        <v>9994</v>
      </c>
      <c r="D1869" t="s">
        <v>9995</v>
      </c>
      <c r="E1869" t="s">
        <v>9996</v>
      </c>
      <c r="G1869" t="s">
        <v>9994</v>
      </c>
      <c r="H1869" t="s">
        <v>9782</v>
      </c>
      <c r="L1869" t="s">
        <v>79</v>
      </c>
      <c r="M1869" t="s">
        <v>72</v>
      </c>
      <c r="R1869" t="s">
        <v>9997</v>
      </c>
      <c r="W1869" t="s">
        <v>9996</v>
      </c>
      <c r="X1869" t="s">
        <v>9784</v>
      </c>
      <c r="Y1869" t="s">
        <v>242</v>
      </c>
      <c r="Z1869" t="s">
        <v>73</v>
      </c>
      <c r="AA1869" t="str">
        <f>"14701-6800"</f>
        <v>14701-6800</v>
      </c>
      <c r="AB1869" t="s">
        <v>105</v>
      </c>
      <c r="AC1869" t="s">
        <v>75</v>
      </c>
      <c r="AD1869" t="s">
        <v>72</v>
      </c>
      <c r="AE1869" t="s">
        <v>76</v>
      </c>
      <c r="AF1869" t="s">
        <v>7966</v>
      </c>
      <c r="AG1869" t="s">
        <v>77</v>
      </c>
    </row>
    <row r="1870" spans="1:33" x14ac:dyDescent="0.25">
      <c r="A1870" t="str">
        <f>"1861806549"</f>
        <v>1861806549</v>
      </c>
      <c r="B1870" t="str">
        <f>"03859354"</f>
        <v>03859354</v>
      </c>
      <c r="C1870" t="s">
        <v>9998</v>
      </c>
      <c r="D1870" t="s">
        <v>9999</v>
      </c>
      <c r="E1870" t="s">
        <v>10000</v>
      </c>
      <c r="G1870" t="s">
        <v>9998</v>
      </c>
      <c r="H1870" t="s">
        <v>9782</v>
      </c>
      <c r="L1870" t="s">
        <v>79</v>
      </c>
      <c r="M1870" t="s">
        <v>72</v>
      </c>
      <c r="R1870" t="s">
        <v>10001</v>
      </c>
      <c r="W1870" t="s">
        <v>10000</v>
      </c>
      <c r="X1870" t="s">
        <v>9784</v>
      </c>
      <c r="Y1870" t="s">
        <v>242</v>
      </c>
      <c r="Z1870" t="s">
        <v>73</v>
      </c>
      <c r="AA1870" t="str">
        <f>"14701-6800"</f>
        <v>14701-6800</v>
      </c>
      <c r="AB1870" t="s">
        <v>74</v>
      </c>
      <c r="AC1870" t="s">
        <v>75</v>
      </c>
      <c r="AD1870" t="s">
        <v>72</v>
      </c>
      <c r="AE1870" t="s">
        <v>76</v>
      </c>
      <c r="AF1870" t="s">
        <v>7966</v>
      </c>
      <c r="AG1870" t="s">
        <v>77</v>
      </c>
    </row>
    <row r="1871" spans="1:33" x14ac:dyDescent="0.25">
      <c r="A1871" t="str">
        <f>"1558313999"</f>
        <v>1558313999</v>
      </c>
      <c r="B1871" t="str">
        <f>"01933522"</f>
        <v>01933522</v>
      </c>
      <c r="C1871" t="s">
        <v>10002</v>
      </c>
      <c r="D1871" t="s">
        <v>10003</v>
      </c>
      <c r="E1871" t="s">
        <v>10004</v>
      </c>
      <c r="L1871" t="s">
        <v>71</v>
      </c>
      <c r="M1871" t="s">
        <v>72</v>
      </c>
      <c r="R1871" t="s">
        <v>10005</v>
      </c>
      <c r="W1871" t="s">
        <v>10004</v>
      </c>
      <c r="X1871" t="s">
        <v>286</v>
      </c>
      <c r="Y1871" t="s">
        <v>242</v>
      </c>
      <c r="Z1871" t="s">
        <v>73</v>
      </c>
      <c r="AA1871" t="str">
        <f>"14701-7077"</f>
        <v>14701-7077</v>
      </c>
      <c r="AB1871" t="s">
        <v>74</v>
      </c>
      <c r="AC1871" t="s">
        <v>75</v>
      </c>
      <c r="AD1871" t="s">
        <v>72</v>
      </c>
      <c r="AE1871" t="s">
        <v>76</v>
      </c>
      <c r="AF1871" t="s">
        <v>7966</v>
      </c>
      <c r="AG1871" t="s">
        <v>77</v>
      </c>
    </row>
    <row r="1872" spans="1:33" x14ac:dyDescent="0.25">
      <c r="A1872" t="str">
        <f>"1750387213"</f>
        <v>1750387213</v>
      </c>
      <c r="B1872" t="str">
        <f>"00578583"</f>
        <v>00578583</v>
      </c>
      <c r="C1872" t="s">
        <v>10006</v>
      </c>
      <c r="D1872" t="s">
        <v>10007</v>
      </c>
      <c r="E1872" t="s">
        <v>10008</v>
      </c>
      <c r="L1872" t="s">
        <v>71</v>
      </c>
      <c r="M1872" t="s">
        <v>72</v>
      </c>
      <c r="R1872" t="s">
        <v>10009</v>
      </c>
      <c r="W1872" t="s">
        <v>10010</v>
      </c>
      <c r="X1872" t="s">
        <v>241</v>
      </c>
      <c r="Y1872" t="s">
        <v>242</v>
      </c>
      <c r="Z1872" t="s">
        <v>73</v>
      </c>
      <c r="AA1872" t="str">
        <f>"14701-6820"</f>
        <v>14701-6820</v>
      </c>
      <c r="AB1872" t="s">
        <v>74</v>
      </c>
      <c r="AC1872" t="s">
        <v>75</v>
      </c>
      <c r="AD1872" t="s">
        <v>72</v>
      </c>
      <c r="AE1872" t="s">
        <v>76</v>
      </c>
      <c r="AF1872" t="s">
        <v>7966</v>
      </c>
      <c r="AG1872" t="s">
        <v>77</v>
      </c>
    </row>
    <row r="1873" spans="1:33" x14ac:dyDescent="0.25">
      <c r="A1873" t="str">
        <f>"1154372720"</f>
        <v>1154372720</v>
      </c>
      <c r="B1873" t="str">
        <f>"01186598"</f>
        <v>01186598</v>
      </c>
      <c r="C1873" t="s">
        <v>10011</v>
      </c>
      <c r="D1873" t="s">
        <v>10012</v>
      </c>
      <c r="E1873" t="s">
        <v>10013</v>
      </c>
      <c r="L1873" t="s">
        <v>79</v>
      </c>
      <c r="M1873" t="s">
        <v>72</v>
      </c>
      <c r="R1873" t="s">
        <v>10014</v>
      </c>
      <c r="W1873" t="s">
        <v>10015</v>
      </c>
      <c r="X1873" t="s">
        <v>286</v>
      </c>
      <c r="Y1873" t="s">
        <v>242</v>
      </c>
      <c r="Z1873" t="s">
        <v>73</v>
      </c>
      <c r="AA1873" t="str">
        <f>"14701-7077"</f>
        <v>14701-7077</v>
      </c>
      <c r="AB1873" t="s">
        <v>74</v>
      </c>
      <c r="AC1873" t="s">
        <v>75</v>
      </c>
      <c r="AD1873" t="s">
        <v>72</v>
      </c>
      <c r="AE1873" t="s">
        <v>76</v>
      </c>
      <c r="AG1873" t="s">
        <v>77</v>
      </c>
    </row>
    <row r="1874" spans="1:33" x14ac:dyDescent="0.25">
      <c r="A1874" t="str">
        <f>"1770531493"</f>
        <v>1770531493</v>
      </c>
      <c r="B1874" t="str">
        <f>"00923588"</f>
        <v>00923588</v>
      </c>
      <c r="C1874" t="s">
        <v>10016</v>
      </c>
      <c r="D1874" t="s">
        <v>10017</v>
      </c>
      <c r="E1874" t="s">
        <v>10018</v>
      </c>
      <c r="L1874" t="s">
        <v>79</v>
      </c>
      <c r="M1874" t="s">
        <v>72</v>
      </c>
      <c r="R1874" t="s">
        <v>10019</v>
      </c>
      <c r="W1874" t="s">
        <v>10020</v>
      </c>
      <c r="X1874" t="s">
        <v>446</v>
      </c>
      <c r="Y1874" t="s">
        <v>117</v>
      </c>
      <c r="Z1874" t="s">
        <v>73</v>
      </c>
      <c r="AA1874" t="str">
        <f>"14209-1194"</f>
        <v>14209-1194</v>
      </c>
      <c r="AB1874" t="s">
        <v>74</v>
      </c>
      <c r="AC1874" t="s">
        <v>75</v>
      </c>
      <c r="AD1874" t="s">
        <v>72</v>
      </c>
      <c r="AE1874" t="s">
        <v>76</v>
      </c>
      <c r="AF1874" t="s">
        <v>7966</v>
      </c>
      <c r="AG1874" t="s">
        <v>77</v>
      </c>
    </row>
    <row r="1875" spans="1:33" x14ac:dyDescent="0.25">
      <c r="A1875" t="str">
        <f>"1518055375"</f>
        <v>1518055375</v>
      </c>
      <c r="B1875" t="str">
        <f>"00631021"</f>
        <v>00631021</v>
      </c>
      <c r="C1875" t="s">
        <v>10021</v>
      </c>
      <c r="D1875" t="s">
        <v>10022</v>
      </c>
      <c r="E1875" t="s">
        <v>10023</v>
      </c>
      <c r="G1875" t="s">
        <v>10021</v>
      </c>
      <c r="H1875" t="s">
        <v>10024</v>
      </c>
      <c r="L1875" t="s">
        <v>71</v>
      </c>
      <c r="M1875" t="s">
        <v>72</v>
      </c>
      <c r="R1875" t="s">
        <v>10025</v>
      </c>
      <c r="W1875" t="s">
        <v>10023</v>
      </c>
      <c r="X1875" t="s">
        <v>10026</v>
      </c>
      <c r="Y1875" t="s">
        <v>217</v>
      </c>
      <c r="Z1875" t="s">
        <v>73</v>
      </c>
      <c r="AA1875" t="str">
        <f>"14760-1938"</f>
        <v>14760-1938</v>
      </c>
      <c r="AB1875" t="s">
        <v>74</v>
      </c>
      <c r="AC1875" t="s">
        <v>75</v>
      </c>
      <c r="AD1875" t="s">
        <v>72</v>
      </c>
      <c r="AE1875" t="s">
        <v>76</v>
      </c>
      <c r="AF1875" t="s">
        <v>7966</v>
      </c>
      <c r="AG1875" t="s">
        <v>77</v>
      </c>
    </row>
    <row r="1876" spans="1:33" x14ac:dyDescent="0.25">
      <c r="A1876" t="str">
        <f>"1538194881"</f>
        <v>1538194881</v>
      </c>
      <c r="B1876" t="str">
        <f>"00776949"</f>
        <v>00776949</v>
      </c>
      <c r="C1876" t="s">
        <v>10027</v>
      </c>
      <c r="D1876" t="s">
        <v>10028</v>
      </c>
      <c r="E1876" t="s">
        <v>10029</v>
      </c>
      <c r="G1876" t="s">
        <v>10027</v>
      </c>
      <c r="H1876" t="s">
        <v>10030</v>
      </c>
      <c r="L1876" t="s">
        <v>71</v>
      </c>
      <c r="M1876" t="s">
        <v>72</v>
      </c>
      <c r="R1876" t="s">
        <v>10031</v>
      </c>
      <c r="W1876" t="s">
        <v>10029</v>
      </c>
      <c r="X1876" t="s">
        <v>10032</v>
      </c>
      <c r="Y1876" t="s">
        <v>242</v>
      </c>
      <c r="Z1876" t="s">
        <v>73</v>
      </c>
      <c r="AA1876" t="str">
        <f>"14701-7073"</f>
        <v>14701-7073</v>
      </c>
      <c r="AB1876" t="s">
        <v>74</v>
      </c>
      <c r="AC1876" t="s">
        <v>75</v>
      </c>
      <c r="AD1876" t="s">
        <v>72</v>
      </c>
      <c r="AE1876" t="s">
        <v>76</v>
      </c>
      <c r="AF1876" t="s">
        <v>7966</v>
      </c>
      <c r="AG1876" t="s">
        <v>77</v>
      </c>
    </row>
    <row r="1877" spans="1:33" x14ac:dyDescent="0.25">
      <c r="A1877" t="str">
        <f>"1568465458"</f>
        <v>1568465458</v>
      </c>
      <c r="B1877" t="str">
        <f>"01830340"</f>
        <v>01830340</v>
      </c>
      <c r="C1877" t="s">
        <v>10033</v>
      </c>
      <c r="D1877" t="s">
        <v>10034</v>
      </c>
      <c r="E1877" t="s">
        <v>10035</v>
      </c>
      <c r="G1877" t="s">
        <v>10033</v>
      </c>
      <c r="H1877" t="s">
        <v>10036</v>
      </c>
      <c r="L1877" t="s">
        <v>79</v>
      </c>
      <c r="M1877" t="s">
        <v>72</v>
      </c>
      <c r="R1877" t="s">
        <v>10037</v>
      </c>
      <c r="W1877" t="s">
        <v>10038</v>
      </c>
      <c r="X1877" t="s">
        <v>5345</v>
      </c>
      <c r="Y1877" t="s">
        <v>242</v>
      </c>
      <c r="Z1877" t="s">
        <v>73</v>
      </c>
      <c r="AA1877" t="str">
        <f>"14701-6247"</f>
        <v>14701-6247</v>
      </c>
      <c r="AB1877" t="s">
        <v>74</v>
      </c>
      <c r="AC1877" t="s">
        <v>75</v>
      </c>
      <c r="AD1877" t="s">
        <v>72</v>
      </c>
      <c r="AE1877" t="s">
        <v>76</v>
      </c>
      <c r="AF1877" t="s">
        <v>7966</v>
      </c>
      <c r="AG1877" t="s">
        <v>77</v>
      </c>
    </row>
    <row r="1878" spans="1:33" x14ac:dyDescent="0.25">
      <c r="A1878" t="str">
        <f>"1366432098"</f>
        <v>1366432098</v>
      </c>
      <c r="B1878" t="str">
        <f>"02740834"</f>
        <v>02740834</v>
      </c>
      <c r="C1878" t="s">
        <v>10039</v>
      </c>
      <c r="D1878" t="s">
        <v>1470</v>
      </c>
      <c r="E1878" t="s">
        <v>1471</v>
      </c>
      <c r="G1878" t="s">
        <v>10039</v>
      </c>
      <c r="H1878" t="s">
        <v>10040</v>
      </c>
      <c r="L1878" t="s">
        <v>71</v>
      </c>
      <c r="M1878" t="s">
        <v>72</v>
      </c>
      <c r="R1878" t="s">
        <v>1472</v>
      </c>
      <c r="W1878" t="s">
        <v>1473</v>
      </c>
      <c r="X1878" t="s">
        <v>1474</v>
      </c>
      <c r="Y1878" t="s">
        <v>242</v>
      </c>
      <c r="Z1878" t="s">
        <v>73</v>
      </c>
      <c r="AA1878" t="str">
        <f>"14701-2630"</f>
        <v>14701-2630</v>
      </c>
      <c r="AB1878" t="s">
        <v>78</v>
      </c>
      <c r="AC1878" t="s">
        <v>75</v>
      </c>
      <c r="AD1878" t="s">
        <v>72</v>
      </c>
      <c r="AE1878" t="s">
        <v>76</v>
      </c>
      <c r="AF1878" t="s">
        <v>7966</v>
      </c>
      <c r="AG1878" t="s">
        <v>77</v>
      </c>
    </row>
    <row r="1879" spans="1:33" x14ac:dyDescent="0.25">
      <c r="A1879" t="str">
        <f>"1851361752"</f>
        <v>1851361752</v>
      </c>
      <c r="B1879" t="str">
        <f>"01710530"</f>
        <v>01710530</v>
      </c>
      <c r="C1879" t="s">
        <v>10041</v>
      </c>
      <c r="D1879" t="s">
        <v>10042</v>
      </c>
      <c r="E1879" t="s">
        <v>10043</v>
      </c>
      <c r="G1879" t="s">
        <v>10041</v>
      </c>
      <c r="H1879" t="s">
        <v>10044</v>
      </c>
      <c r="L1879" t="s">
        <v>79</v>
      </c>
      <c r="M1879" t="s">
        <v>72</v>
      </c>
      <c r="R1879" t="s">
        <v>10045</v>
      </c>
      <c r="W1879" t="s">
        <v>10043</v>
      </c>
      <c r="X1879" t="s">
        <v>10046</v>
      </c>
      <c r="Y1879" t="s">
        <v>242</v>
      </c>
      <c r="Z1879" t="s">
        <v>73</v>
      </c>
      <c r="AA1879" t="str">
        <f>"14701-4733"</f>
        <v>14701-4733</v>
      </c>
      <c r="AB1879" t="s">
        <v>99</v>
      </c>
      <c r="AC1879" t="s">
        <v>75</v>
      </c>
      <c r="AD1879" t="s">
        <v>72</v>
      </c>
      <c r="AE1879" t="s">
        <v>76</v>
      </c>
      <c r="AF1879" t="s">
        <v>7966</v>
      </c>
      <c r="AG1879" t="s">
        <v>77</v>
      </c>
    </row>
    <row r="1880" spans="1:33" x14ac:dyDescent="0.25">
      <c r="A1880" t="str">
        <f>"1821076399"</f>
        <v>1821076399</v>
      </c>
      <c r="B1880" t="str">
        <f>"01344536"</f>
        <v>01344536</v>
      </c>
      <c r="C1880" t="s">
        <v>10047</v>
      </c>
      <c r="D1880" t="s">
        <v>10048</v>
      </c>
      <c r="E1880" t="s">
        <v>10049</v>
      </c>
      <c r="G1880" t="s">
        <v>10047</v>
      </c>
      <c r="H1880" t="s">
        <v>10050</v>
      </c>
      <c r="L1880" t="s">
        <v>79</v>
      </c>
      <c r="M1880" t="s">
        <v>72</v>
      </c>
      <c r="R1880" t="s">
        <v>10051</v>
      </c>
      <c r="W1880" t="s">
        <v>10049</v>
      </c>
      <c r="X1880" t="s">
        <v>10052</v>
      </c>
      <c r="Y1880" t="s">
        <v>242</v>
      </c>
      <c r="Z1880" t="s">
        <v>73</v>
      </c>
      <c r="AA1880" t="str">
        <f>"14701-2520"</f>
        <v>14701-2520</v>
      </c>
      <c r="AB1880" t="s">
        <v>113</v>
      </c>
      <c r="AC1880" t="s">
        <v>75</v>
      </c>
      <c r="AD1880" t="s">
        <v>72</v>
      </c>
      <c r="AE1880" t="s">
        <v>76</v>
      </c>
      <c r="AF1880" t="s">
        <v>7966</v>
      </c>
      <c r="AG1880" t="s">
        <v>77</v>
      </c>
    </row>
    <row r="1881" spans="1:33" x14ac:dyDescent="0.25">
      <c r="A1881" t="str">
        <f>"1184829749"</f>
        <v>1184829749</v>
      </c>
      <c r="B1881" t="str">
        <f>"03581660"</f>
        <v>03581660</v>
      </c>
      <c r="C1881" t="s">
        <v>10053</v>
      </c>
      <c r="D1881" t="s">
        <v>10054</v>
      </c>
      <c r="E1881" t="s">
        <v>10055</v>
      </c>
      <c r="L1881" t="s">
        <v>79</v>
      </c>
      <c r="M1881" t="s">
        <v>72</v>
      </c>
      <c r="R1881" t="s">
        <v>10055</v>
      </c>
      <c r="W1881" t="s">
        <v>10055</v>
      </c>
      <c r="X1881" t="s">
        <v>204</v>
      </c>
      <c r="Y1881" t="s">
        <v>117</v>
      </c>
      <c r="Z1881" t="s">
        <v>73</v>
      </c>
      <c r="AA1881" t="str">
        <f>"14263-0001"</f>
        <v>14263-0001</v>
      </c>
      <c r="AB1881" t="s">
        <v>74</v>
      </c>
      <c r="AC1881" t="s">
        <v>75</v>
      </c>
      <c r="AD1881" t="s">
        <v>72</v>
      </c>
      <c r="AE1881" t="s">
        <v>76</v>
      </c>
      <c r="AF1881" t="s">
        <v>4043</v>
      </c>
      <c r="AG1881" t="s">
        <v>77</v>
      </c>
    </row>
    <row r="1882" spans="1:33" x14ac:dyDescent="0.25">
      <c r="A1882" t="str">
        <f>"1851445829"</f>
        <v>1851445829</v>
      </c>
      <c r="B1882" t="str">
        <f>"03574807"</f>
        <v>03574807</v>
      </c>
      <c r="C1882" t="s">
        <v>10056</v>
      </c>
      <c r="D1882" t="s">
        <v>10057</v>
      </c>
      <c r="E1882" t="s">
        <v>10058</v>
      </c>
      <c r="L1882" t="s">
        <v>71</v>
      </c>
      <c r="M1882" t="s">
        <v>72</v>
      </c>
      <c r="R1882" t="s">
        <v>10058</v>
      </c>
      <c r="W1882" t="s">
        <v>10058</v>
      </c>
      <c r="X1882" t="s">
        <v>204</v>
      </c>
      <c r="Y1882" t="s">
        <v>117</v>
      </c>
      <c r="Z1882" t="s">
        <v>73</v>
      </c>
      <c r="AA1882" t="str">
        <f>"14263-0001"</f>
        <v>14263-0001</v>
      </c>
      <c r="AB1882" t="s">
        <v>74</v>
      </c>
      <c r="AC1882" t="s">
        <v>75</v>
      </c>
      <c r="AD1882" t="s">
        <v>72</v>
      </c>
      <c r="AE1882" t="s">
        <v>76</v>
      </c>
      <c r="AF1882" t="s">
        <v>4043</v>
      </c>
      <c r="AG1882" t="s">
        <v>77</v>
      </c>
    </row>
    <row r="1883" spans="1:33" x14ac:dyDescent="0.25">
      <c r="A1883" t="str">
        <f>"1609083146"</f>
        <v>1609083146</v>
      </c>
      <c r="B1883" t="str">
        <f>"02877829"</f>
        <v>02877829</v>
      </c>
      <c r="C1883" t="s">
        <v>10059</v>
      </c>
      <c r="D1883" t="s">
        <v>10060</v>
      </c>
      <c r="E1883" t="s">
        <v>10061</v>
      </c>
      <c r="L1883" t="s">
        <v>79</v>
      </c>
      <c r="M1883" t="s">
        <v>72</v>
      </c>
      <c r="R1883" t="s">
        <v>10062</v>
      </c>
      <c r="W1883" t="s">
        <v>10061</v>
      </c>
      <c r="X1883" t="s">
        <v>145</v>
      </c>
      <c r="Y1883" t="s">
        <v>143</v>
      </c>
      <c r="Z1883" t="s">
        <v>73</v>
      </c>
      <c r="AA1883" t="str">
        <f>"11791-4515"</f>
        <v>11791-4515</v>
      </c>
      <c r="AB1883" t="s">
        <v>74</v>
      </c>
      <c r="AC1883" t="s">
        <v>75</v>
      </c>
      <c r="AD1883" t="s">
        <v>72</v>
      </c>
      <c r="AE1883" t="s">
        <v>76</v>
      </c>
      <c r="AF1883" t="s">
        <v>4043</v>
      </c>
      <c r="AG1883" t="s">
        <v>77</v>
      </c>
    </row>
    <row r="1884" spans="1:33" x14ac:dyDescent="0.25">
      <c r="A1884" t="str">
        <f>"1417995960"</f>
        <v>1417995960</v>
      </c>
      <c r="B1884" t="str">
        <f>"02760290"</f>
        <v>02760290</v>
      </c>
      <c r="C1884" t="s">
        <v>10063</v>
      </c>
      <c r="D1884" t="s">
        <v>10064</v>
      </c>
      <c r="E1884" t="s">
        <v>10065</v>
      </c>
      <c r="L1884" t="s">
        <v>79</v>
      </c>
      <c r="M1884" t="s">
        <v>72</v>
      </c>
      <c r="R1884" t="s">
        <v>10066</v>
      </c>
      <c r="W1884" t="s">
        <v>10065</v>
      </c>
      <c r="X1884" t="s">
        <v>204</v>
      </c>
      <c r="Y1884" t="s">
        <v>117</v>
      </c>
      <c r="Z1884" t="s">
        <v>73</v>
      </c>
      <c r="AA1884" t="str">
        <f>"14263-0001"</f>
        <v>14263-0001</v>
      </c>
      <c r="AB1884" t="s">
        <v>74</v>
      </c>
      <c r="AC1884" t="s">
        <v>75</v>
      </c>
      <c r="AD1884" t="s">
        <v>72</v>
      </c>
      <c r="AE1884" t="s">
        <v>76</v>
      </c>
      <c r="AF1884" t="s">
        <v>4043</v>
      </c>
      <c r="AG1884" t="s">
        <v>77</v>
      </c>
    </row>
    <row r="1885" spans="1:33" x14ac:dyDescent="0.25">
      <c r="A1885" t="str">
        <f>"1326029943"</f>
        <v>1326029943</v>
      </c>
      <c r="B1885" t="str">
        <f>"01762587"</f>
        <v>01762587</v>
      </c>
      <c r="C1885" t="s">
        <v>10067</v>
      </c>
      <c r="D1885" t="s">
        <v>10068</v>
      </c>
      <c r="E1885" t="s">
        <v>10069</v>
      </c>
      <c r="L1885" t="s">
        <v>79</v>
      </c>
      <c r="M1885" t="s">
        <v>72</v>
      </c>
      <c r="R1885" t="s">
        <v>10070</v>
      </c>
      <c r="W1885" t="s">
        <v>10069</v>
      </c>
      <c r="X1885" t="s">
        <v>290</v>
      </c>
      <c r="Y1885" t="s">
        <v>117</v>
      </c>
      <c r="Z1885" t="s">
        <v>73</v>
      </c>
      <c r="AA1885" t="str">
        <f>"14263-0001"</f>
        <v>14263-0001</v>
      </c>
      <c r="AB1885" t="s">
        <v>74</v>
      </c>
      <c r="AC1885" t="s">
        <v>75</v>
      </c>
      <c r="AD1885" t="s">
        <v>72</v>
      </c>
      <c r="AE1885" t="s">
        <v>76</v>
      </c>
      <c r="AF1885" t="s">
        <v>4043</v>
      </c>
      <c r="AG1885" t="s">
        <v>77</v>
      </c>
    </row>
    <row r="1886" spans="1:33" x14ac:dyDescent="0.25">
      <c r="A1886" t="str">
        <f>"1285615047"</f>
        <v>1285615047</v>
      </c>
      <c r="B1886" t="str">
        <f>"01412495"</f>
        <v>01412495</v>
      </c>
      <c r="C1886" t="s">
        <v>10071</v>
      </c>
      <c r="D1886" t="s">
        <v>2095</v>
      </c>
      <c r="E1886" t="s">
        <v>2096</v>
      </c>
      <c r="L1886" t="s">
        <v>79</v>
      </c>
      <c r="M1886" t="s">
        <v>72</v>
      </c>
      <c r="R1886" t="s">
        <v>2097</v>
      </c>
      <c r="W1886" t="s">
        <v>2096</v>
      </c>
      <c r="X1886" t="s">
        <v>2098</v>
      </c>
      <c r="Y1886" t="s">
        <v>117</v>
      </c>
      <c r="Z1886" t="s">
        <v>73</v>
      </c>
      <c r="AA1886" t="str">
        <f>"14221"</f>
        <v>14221</v>
      </c>
      <c r="AB1886" t="s">
        <v>74</v>
      </c>
      <c r="AC1886" t="s">
        <v>75</v>
      </c>
      <c r="AD1886" t="s">
        <v>72</v>
      </c>
      <c r="AE1886" t="s">
        <v>76</v>
      </c>
      <c r="AF1886" t="s">
        <v>4043</v>
      </c>
      <c r="AG1886" t="s">
        <v>77</v>
      </c>
    </row>
    <row r="1887" spans="1:33" x14ac:dyDescent="0.25">
      <c r="A1887" t="str">
        <f>"1184867517"</f>
        <v>1184867517</v>
      </c>
      <c r="B1887" t="str">
        <f>"03583731"</f>
        <v>03583731</v>
      </c>
      <c r="C1887" t="s">
        <v>10072</v>
      </c>
      <c r="D1887" t="s">
        <v>10073</v>
      </c>
      <c r="E1887" t="s">
        <v>10074</v>
      </c>
      <c r="L1887" t="s">
        <v>79</v>
      </c>
      <c r="M1887" t="s">
        <v>72</v>
      </c>
      <c r="R1887" t="s">
        <v>10075</v>
      </c>
      <c r="W1887" t="s">
        <v>10074</v>
      </c>
      <c r="X1887" t="s">
        <v>204</v>
      </c>
      <c r="Y1887" t="s">
        <v>117</v>
      </c>
      <c r="Z1887" t="s">
        <v>73</v>
      </c>
      <c r="AA1887" t="str">
        <f t="shared" ref="AA1887:AA1894" si="18">"14263-0001"</f>
        <v>14263-0001</v>
      </c>
      <c r="AB1887" t="s">
        <v>74</v>
      </c>
      <c r="AC1887" t="s">
        <v>75</v>
      </c>
      <c r="AD1887" t="s">
        <v>72</v>
      </c>
      <c r="AE1887" t="s">
        <v>76</v>
      </c>
      <c r="AF1887" t="s">
        <v>4043</v>
      </c>
      <c r="AG1887" t="s">
        <v>77</v>
      </c>
    </row>
    <row r="1888" spans="1:33" x14ac:dyDescent="0.25">
      <c r="A1888" t="str">
        <f>"1720069594"</f>
        <v>1720069594</v>
      </c>
      <c r="B1888" t="str">
        <f>"02313702"</f>
        <v>02313702</v>
      </c>
      <c r="C1888" t="s">
        <v>10076</v>
      </c>
      <c r="D1888" t="s">
        <v>10077</v>
      </c>
      <c r="E1888" t="s">
        <v>10078</v>
      </c>
      <c r="L1888" t="s">
        <v>79</v>
      </c>
      <c r="M1888" t="s">
        <v>72</v>
      </c>
      <c r="R1888" t="s">
        <v>10079</v>
      </c>
      <c r="W1888" t="s">
        <v>10078</v>
      </c>
      <c r="X1888" t="s">
        <v>2137</v>
      </c>
      <c r="Y1888" t="s">
        <v>117</v>
      </c>
      <c r="Z1888" t="s">
        <v>73</v>
      </c>
      <c r="AA1888" t="str">
        <f t="shared" si="18"/>
        <v>14263-0001</v>
      </c>
      <c r="AB1888" t="s">
        <v>74</v>
      </c>
      <c r="AC1888" t="s">
        <v>75</v>
      </c>
      <c r="AD1888" t="s">
        <v>72</v>
      </c>
      <c r="AE1888" t="s">
        <v>76</v>
      </c>
      <c r="AF1888" t="s">
        <v>4043</v>
      </c>
      <c r="AG1888" t="s">
        <v>77</v>
      </c>
    </row>
    <row r="1889" spans="1:33" x14ac:dyDescent="0.25">
      <c r="A1889" t="str">
        <f>"1114143682"</f>
        <v>1114143682</v>
      </c>
      <c r="B1889" t="str">
        <f>"03280206"</f>
        <v>03280206</v>
      </c>
      <c r="C1889" t="s">
        <v>10080</v>
      </c>
      <c r="D1889" t="s">
        <v>10081</v>
      </c>
      <c r="E1889" t="s">
        <v>10082</v>
      </c>
      <c r="L1889" t="s">
        <v>79</v>
      </c>
      <c r="M1889" t="s">
        <v>72</v>
      </c>
      <c r="R1889" t="s">
        <v>10083</v>
      </c>
      <c r="W1889" t="s">
        <v>10083</v>
      </c>
      <c r="X1889" t="s">
        <v>204</v>
      </c>
      <c r="Y1889" t="s">
        <v>117</v>
      </c>
      <c r="Z1889" t="s">
        <v>73</v>
      </c>
      <c r="AA1889" t="str">
        <f t="shared" si="18"/>
        <v>14263-0001</v>
      </c>
      <c r="AB1889" t="s">
        <v>74</v>
      </c>
      <c r="AC1889" t="s">
        <v>75</v>
      </c>
      <c r="AD1889" t="s">
        <v>72</v>
      </c>
      <c r="AE1889" t="s">
        <v>76</v>
      </c>
      <c r="AF1889" t="s">
        <v>4043</v>
      </c>
      <c r="AG1889" t="s">
        <v>77</v>
      </c>
    </row>
    <row r="1890" spans="1:33" x14ac:dyDescent="0.25">
      <c r="A1890" t="str">
        <f>"1275700551"</f>
        <v>1275700551</v>
      </c>
      <c r="B1890" t="str">
        <f>"03499016"</f>
        <v>03499016</v>
      </c>
      <c r="C1890" t="s">
        <v>10084</v>
      </c>
      <c r="D1890" t="s">
        <v>10085</v>
      </c>
      <c r="E1890" t="s">
        <v>10086</v>
      </c>
      <c r="L1890" t="s">
        <v>79</v>
      </c>
      <c r="M1890" t="s">
        <v>72</v>
      </c>
      <c r="R1890" t="s">
        <v>10087</v>
      </c>
      <c r="W1890" t="s">
        <v>10086</v>
      </c>
      <c r="X1890" t="s">
        <v>204</v>
      </c>
      <c r="Y1890" t="s">
        <v>117</v>
      </c>
      <c r="Z1890" t="s">
        <v>73</v>
      </c>
      <c r="AA1890" t="str">
        <f t="shared" si="18"/>
        <v>14263-0001</v>
      </c>
      <c r="AB1890" t="s">
        <v>74</v>
      </c>
      <c r="AC1890" t="s">
        <v>75</v>
      </c>
      <c r="AD1890" t="s">
        <v>72</v>
      </c>
      <c r="AE1890" t="s">
        <v>76</v>
      </c>
      <c r="AF1890" t="s">
        <v>4043</v>
      </c>
      <c r="AG1890" t="s">
        <v>77</v>
      </c>
    </row>
    <row r="1891" spans="1:33" x14ac:dyDescent="0.25">
      <c r="A1891" t="str">
        <f>"1588717227"</f>
        <v>1588717227</v>
      </c>
      <c r="B1891" t="str">
        <f>"03624444"</f>
        <v>03624444</v>
      </c>
      <c r="C1891" t="s">
        <v>10088</v>
      </c>
      <c r="D1891" t="s">
        <v>10089</v>
      </c>
      <c r="E1891" t="s">
        <v>10090</v>
      </c>
      <c r="L1891" t="s">
        <v>71</v>
      </c>
      <c r="M1891" t="s">
        <v>72</v>
      </c>
      <c r="R1891" t="s">
        <v>10091</v>
      </c>
      <c r="W1891" t="s">
        <v>10092</v>
      </c>
      <c r="X1891" t="s">
        <v>204</v>
      </c>
      <c r="Y1891" t="s">
        <v>117</v>
      </c>
      <c r="Z1891" t="s">
        <v>73</v>
      </c>
      <c r="AA1891" t="str">
        <f t="shared" si="18"/>
        <v>14263-0001</v>
      </c>
      <c r="AB1891" t="s">
        <v>74</v>
      </c>
      <c r="AC1891" t="s">
        <v>75</v>
      </c>
      <c r="AD1891" t="s">
        <v>72</v>
      </c>
      <c r="AE1891" t="s">
        <v>76</v>
      </c>
      <c r="AG1891" t="s">
        <v>77</v>
      </c>
    </row>
    <row r="1892" spans="1:33" x14ac:dyDescent="0.25">
      <c r="A1892" t="str">
        <f>"1568405868"</f>
        <v>1568405868</v>
      </c>
      <c r="B1892" t="str">
        <f>"03048244"</f>
        <v>03048244</v>
      </c>
      <c r="C1892" t="s">
        <v>10093</v>
      </c>
      <c r="D1892" t="s">
        <v>10094</v>
      </c>
      <c r="E1892" t="s">
        <v>10095</v>
      </c>
      <c r="L1892" t="s">
        <v>79</v>
      </c>
      <c r="M1892" t="s">
        <v>72</v>
      </c>
      <c r="R1892" t="s">
        <v>10096</v>
      </c>
      <c r="W1892" t="s">
        <v>10095</v>
      </c>
      <c r="X1892" t="s">
        <v>204</v>
      </c>
      <c r="Y1892" t="s">
        <v>117</v>
      </c>
      <c r="Z1892" t="s">
        <v>73</v>
      </c>
      <c r="AA1892" t="str">
        <f t="shared" si="18"/>
        <v>14263-0001</v>
      </c>
      <c r="AB1892" t="s">
        <v>74</v>
      </c>
      <c r="AC1892" t="s">
        <v>75</v>
      </c>
      <c r="AD1892" t="s">
        <v>72</v>
      </c>
      <c r="AE1892" t="s">
        <v>76</v>
      </c>
      <c r="AF1892" t="s">
        <v>4043</v>
      </c>
      <c r="AG1892" t="s">
        <v>77</v>
      </c>
    </row>
    <row r="1893" spans="1:33" x14ac:dyDescent="0.25">
      <c r="A1893" t="str">
        <f>"1396726022"</f>
        <v>1396726022</v>
      </c>
      <c r="B1893" t="str">
        <f>"02202037"</f>
        <v>02202037</v>
      </c>
      <c r="C1893" t="s">
        <v>10097</v>
      </c>
      <c r="D1893" t="s">
        <v>10098</v>
      </c>
      <c r="E1893" t="s">
        <v>10099</v>
      </c>
      <c r="L1893" t="s">
        <v>79</v>
      </c>
      <c r="M1893" t="s">
        <v>72</v>
      </c>
      <c r="R1893" t="s">
        <v>10100</v>
      </c>
      <c r="W1893" t="s">
        <v>10099</v>
      </c>
      <c r="X1893" t="s">
        <v>10101</v>
      </c>
      <c r="Y1893" t="s">
        <v>117</v>
      </c>
      <c r="Z1893" t="s">
        <v>73</v>
      </c>
      <c r="AA1893" t="str">
        <f t="shared" si="18"/>
        <v>14263-0001</v>
      </c>
      <c r="AB1893" t="s">
        <v>74</v>
      </c>
      <c r="AC1893" t="s">
        <v>75</v>
      </c>
      <c r="AD1893" t="s">
        <v>72</v>
      </c>
      <c r="AE1893" t="s">
        <v>76</v>
      </c>
      <c r="AF1893" t="s">
        <v>4043</v>
      </c>
      <c r="AG1893" t="s">
        <v>77</v>
      </c>
    </row>
    <row r="1894" spans="1:33" x14ac:dyDescent="0.25">
      <c r="A1894" t="str">
        <f>"1831170604"</f>
        <v>1831170604</v>
      </c>
      <c r="B1894" t="str">
        <f>"02534283"</f>
        <v>02534283</v>
      </c>
      <c r="C1894" t="s">
        <v>10102</v>
      </c>
      <c r="D1894" t="s">
        <v>962</v>
      </c>
      <c r="E1894" t="s">
        <v>963</v>
      </c>
      <c r="L1894" t="s">
        <v>79</v>
      </c>
      <c r="M1894" t="s">
        <v>72</v>
      </c>
      <c r="R1894" t="s">
        <v>964</v>
      </c>
      <c r="W1894" t="s">
        <v>963</v>
      </c>
      <c r="X1894" t="s">
        <v>965</v>
      </c>
      <c r="Y1894" t="s">
        <v>117</v>
      </c>
      <c r="Z1894" t="s">
        <v>73</v>
      </c>
      <c r="AA1894" t="str">
        <f t="shared" si="18"/>
        <v>14263-0001</v>
      </c>
      <c r="AB1894" t="s">
        <v>74</v>
      </c>
      <c r="AC1894" t="s">
        <v>75</v>
      </c>
      <c r="AD1894" t="s">
        <v>72</v>
      </c>
      <c r="AE1894" t="s">
        <v>76</v>
      </c>
      <c r="AF1894" t="s">
        <v>4043</v>
      </c>
      <c r="AG1894" t="s">
        <v>77</v>
      </c>
    </row>
    <row r="1895" spans="1:33" x14ac:dyDescent="0.25">
      <c r="A1895" t="str">
        <f>"1053392829"</f>
        <v>1053392829</v>
      </c>
      <c r="B1895" t="str">
        <f>"00797897"</f>
        <v>00797897</v>
      </c>
      <c r="C1895" t="s">
        <v>10103</v>
      </c>
      <c r="D1895" t="s">
        <v>10104</v>
      </c>
      <c r="E1895" t="s">
        <v>10105</v>
      </c>
      <c r="L1895" t="s">
        <v>79</v>
      </c>
      <c r="M1895" t="s">
        <v>72</v>
      </c>
      <c r="R1895" t="s">
        <v>10106</v>
      </c>
      <c r="W1895" t="s">
        <v>10105</v>
      </c>
      <c r="X1895" t="s">
        <v>10107</v>
      </c>
      <c r="Y1895" t="s">
        <v>87</v>
      </c>
      <c r="Z1895" t="s">
        <v>73</v>
      </c>
      <c r="AA1895" t="str">
        <f>"10024-6416"</f>
        <v>10024-6416</v>
      </c>
      <c r="AB1895" t="s">
        <v>74</v>
      </c>
      <c r="AC1895" t="s">
        <v>75</v>
      </c>
      <c r="AD1895" t="s">
        <v>72</v>
      </c>
      <c r="AE1895" t="s">
        <v>76</v>
      </c>
      <c r="AF1895" t="s">
        <v>4043</v>
      </c>
      <c r="AG1895" t="s">
        <v>77</v>
      </c>
    </row>
    <row r="1896" spans="1:33" x14ac:dyDescent="0.25">
      <c r="A1896" t="str">
        <f>"1538140306"</f>
        <v>1538140306</v>
      </c>
      <c r="B1896" t="str">
        <f>"02238571"</f>
        <v>02238571</v>
      </c>
      <c r="C1896" t="s">
        <v>10108</v>
      </c>
      <c r="D1896" t="s">
        <v>10109</v>
      </c>
      <c r="E1896" t="s">
        <v>10110</v>
      </c>
      <c r="L1896" t="s">
        <v>71</v>
      </c>
      <c r="M1896" t="s">
        <v>72</v>
      </c>
      <c r="R1896" t="s">
        <v>10111</v>
      </c>
      <c r="W1896" t="s">
        <v>10110</v>
      </c>
      <c r="X1896" t="s">
        <v>204</v>
      </c>
      <c r="Y1896" t="s">
        <v>117</v>
      </c>
      <c r="Z1896" t="s">
        <v>73</v>
      </c>
      <c r="AA1896" t="str">
        <f>"14263-0001"</f>
        <v>14263-0001</v>
      </c>
      <c r="AB1896" t="s">
        <v>74</v>
      </c>
      <c r="AC1896" t="s">
        <v>75</v>
      </c>
      <c r="AD1896" t="s">
        <v>72</v>
      </c>
      <c r="AE1896" t="s">
        <v>76</v>
      </c>
      <c r="AF1896" t="s">
        <v>4043</v>
      </c>
      <c r="AG1896" t="s">
        <v>77</v>
      </c>
    </row>
    <row r="1897" spans="1:33" x14ac:dyDescent="0.25">
      <c r="A1897" t="str">
        <f>"1699864686"</f>
        <v>1699864686</v>
      </c>
      <c r="B1897" t="str">
        <f>"03818155"</f>
        <v>03818155</v>
      </c>
      <c r="C1897" t="s">
        <v>10112</v>
      </c>
      <c r="D1897" t="s">
        <v>10113</v>
      </c>
      <c r="E1897" t="s">
        <v>10114</v>
      </c>
      <c r="L1897" t="s">
        <v>79</v>
      </c>
      <c r="M1897" t="s">
        <v>72</v>
      </c>
      <c r="R1897" t="s">
        <v>10115</v>
      </c>
      <c r="W1897" t="s">
        <v>10114</v>
      </c>
      <c r="X1897" t="s">
        <v>204</v>
      </c>
      <c r="Y1897" t="s">
        <v>117</v>
      </c>
      <c r="Z1897" t="s">
        <v>73</v>
      </c>
      <c r="AA1897" t="str">
        <f>"14263-0001"</f>
        <v>14263-0001</v>
      </c>
      <c r="AB1897" t="s">
        <v>74</v>
      </c>
      <c r="AC1897" t="s">
        <v>75</v>
      </c>
      <c r="AD1897" t="s">
        <v>72</v>
      </c>
      <c r="AE1897" t="s">
        <v>76</v>
      </c>
      <c r="AF1897" t="s">
        <v>4043</v>
      </c>
      <c r="AG1897" t="s">
        <v>77</v>
      </c>
    </row>
    <row r="1898" spans="1:33" x14ac:dyDescent="0.25">
      <c r="A1898" t="str">
        <f>"1568674554"</f>
        <v>1568674554</v>
      </c>
      <c r="B1898" t="str">
        <f>"03572992"</f>
        <v>03572992</v>
      </c>
      <c r="C1898" t="s">
        <v>10116</v>
      </c>
      <c r="D1898" t="s">
        <v>10117</v>
      </c>
      <c r="E1898" t="s">
        <v>10118</v>
      </c>
      <c r="L1898" t="s">
        <v>71</v>
      </c>
      <c r="M1898" t="s">
        <v>72</v>
      </c>
      <c r="R1898" t="s">
        <v>10119</v>
      </c>
      <c r="W1898" t="s">
        <v>10118</v>
      </c>
      <c r="X1898" t="s">
        <v>204</v>
      </c>
      <c r="Y1898" t="s">
        <v>117</v>
      </c>
      <c r="Z1898" t="s">
        <v>73</v>
      </c>
      <c r="AA1898" t="str">
        <f>"14263-0001"</f>
        <v>14263-0001</v>
      </c>
      <c r="AB1898" t="s">
        <v>74</v>
      </c>
      <c r="AC1898" t="s">
        <v>75</v>
      </c>
      <c r="AD1898" t="s">
        <v>72</v>
      </c>
      <c r="AE1898" t="s">
        <v>76</v>
      </c>
      <c r="AF1898" t="s">
        <v>4043</v>
      </c>
      <c r="AG1898" t="s">
        <v>77</v>
      </c>
    </row>
    <row r="1899" spans="1:33" x14ac:dyDescent="0.25">
      <c r="A1899" t="str">
        <f>"1972691210"</f>
        <v>1972691210</v>
      </c>
      <c r="B1899" t="str">
        <f>"01093865"</f>
        <v>01093865</v>
      </c>
      <c r="C1899" t="s">
        <v>10120</v>
      </c>
      <c r="D1899" t="s">
        <v>10121</v>
      </c>
      <c r="E1899" t="s">
        <v>10122</v>
      </c>
      <c r="G1899" t="s">
        <v>10120</v>
      </c>
      <c r="H1899" t="s">
        <v>10123</v>
      </c>
      <c r="J1899" t="s">
        <v>10124</v>
      </c>
      <c r="L1899" t="s">
        <v>79</v>
      </c>
      <c r="M1899" t="s">
        <v>72</v>
      </c>
      <c r="R1899" t="s">
        <v>10125</v>
      </c>
      <c r="W1899" t="s">
        <v>10122</v>
      </c>
      <c r="X1899" t="s">
        <v>173</v>
      </c>
      <c r="Y1899" t="s">
        <v>117</v>
      </c>
      <c r="Z1899" t="s">
        <v>73</v>
      </c>
      <c r="AA1899" t="str">
        <f>"14222-2006"</f>
        <v>14222-2006</v>
      </c>
      <c r="AB1899" t="s">
        <v>74</v>
      </c>
      <c r="AC1899" t="s">
        <v>75</v>
      </c>
      <c r="AD1899" t="s">
        <v>72</v>
      </c>
      <c r="AE1899" t="s">
        <v>76</v>
      </c>
      <c r="AF1899" t="s">
        <v>3974</v>
      </c>
      <c r="AG1899" t="s">
        <v>77</v>
      </c>
    </row>
    <row r="1900" spans="1:33" x14ac:dyDescent="0.25">
      <c r="A1900" t="str">
        <f>"1962472787"</f>
        <v>1962472787</v>
      </c>
      <c r="B1900" t="str">
        <f>"01586281"</f>
        <v>01586281</v>
      </c>
      <c r="C1900" t="s">
        <v>10126</v>
      </c>
      <c r="D1900" t="s">
        <v>3392</v>
      </c>
      <c r="E1900" t="s">
        <v>3393</v>
      </c>
      <c r="G1900" t="s">
        <v>10126</v>
      </c>
      <c r="H1900" t="s">
        <v>991</v>
      </c>
      <c r="J1900" t="s">
        <v>10127</v>
      </c>
      <c r="L1900" t="s">
        <v>79</v>
      </c>
      <c r="M1900" t="s">
        <v>72</v>
      </c>
      <c r="R1900" t="s">
        <v>3394</v>
      </c>
      <c r="W1900" t="s">
        <v>3393</v>
      </c>
      <c r="AB1900" t="s">
        <v>74</v>
      </c>
      <c r="AC1900" t="s">
        <v>75</v>
      </c>
      <c r="AD1900" t="s">
        <v>72</v>
      </c>
      <c r="AE1900" t="s">
        <v>76</v>
      </c>
      <c r="AF1900" t="s">
        <v>3961</v>
      </c>
      <c r="AG1900" t="s">
        <v>77</v>
      </c>
    </row>
    <row r="1901" spans="1:33" x14ac:dyDescent="0.25">
      <c r="A1901" t="str">
        <f>"1467572537"</f>
        <v>1467572537</v>
      </c>
      <c r="B1901" t="str">
        <f>"01778147"</f>
        <v>01778147</v>
      </c>
      <c r="C1901" t="s">
        <v>10128</v>
      </c>
      <c r="D1901" t="s">
        <v>1557</v>
      </c>
      <c r="E1901" t="s">
        <v>1558</v>
      </c>
      <c r="G1901" t="s">
        <v>4856</v>
      </c>
      <c r="H1901" t="s">
        <v>1762</v>
      </c>
      <c r="J1901" t="s">
        <v>4857</v>
      </c>
      <c r="L1901" t="s">
        <v>71</v>
      </c>
      <c r="M1901" t="s">
        <v>72</v>
      </c>
      <c r="R1901" t="s">
        <v>1559</v>
      </c>
      <c r="W1901" t="s">
        <v>1558</v>
      </c>
      <c r="X1901" t="s">
        <v>1258</v>
      </c>
      <c r="Y1901" t="s">
        <v>228</v>
      </c>
      <c r="Z1901" t="s">
        <v>73</v>
      </c>
      <c r="AA1901" t="str">
        <f>"14226-1039"</f>
        <v>14226-1039</v>
      </c>
      <c r="AB1901" t="s">
        <v>74</v>
      </c>
      <c r="AC1901" t="s">
        <v>75</v>
      </c>
      <c r="AD1901" t="s">
        <v>72</v>
      </c>
      <c r="AE1901" t="s">
        <v>76</v>
      </c>
      <c r="AF1901" t="s">
        <v>3974</v>
      </c>
      <c r="AG1901" t="s">
        <v>77</v>
      </c>
    </row>
    <row r="1902" spans="1:33" x14ac:dyDescent="0.25">
      <c r="A1902" t="str">
        <f>"1285616425"</f>
        <v>1285616425</v>
      </c>
      <c r="B1902" t="str">
        <f>"02080115"</f>
        <v>02080115</v>
      </c>
      <c r="C1902" t="s">
        <v>10129</v>
      </c>
      <c r="D1902" t="s">
        <v>10130</v>
      </c>
      <c r="E1902" t="s">
        <v>10131</v>
      </c>
      <c r="G1902" t="s">
        <v>6960</v>
      </c>
      <c r="H1902" t="s">
        <v>6961</v>
      </c>
      <c r="J1902" t="s">
        <v>6962</v>
      </c>
      <c r="L1902" t="s">
        <v>80</v>
      </c>
      <c r="M1902" t="s">
        <v>72</v>
      </c>
      <c r="R1902" t="s">
        <v>10132</v>
      </c>
      <c r="W1902" t="s">
        <v>10131</v>
      </c>
      <c r="X1902" t="s">
        <v>212</v>
      </c>
      <c r="Y1902" t="s">
        <v>195</v>
      </c>
      <c r="Z1902" t="s">
        <v>73</v>
      </c>
      <c r="AA1902" t="str">
        <f>"13642-1040"</f>
        <v>13642-1040</v>
      </c>
      <c r="AB1902" t="s">
        <v>74</v>
      </c>
      <c r="AC1902" t="s">
        <v>75</v>
      </c>
      <c r="AD1902" t="s">
        <v>72</v>
      </c>
      <c r="AE1902" t="s">
        <v>76</v>
      </c>
      <c r="AF1902" t="s">
        <v>3961</v>
      </c>
      <c r="AG1902" t="s">
        <v>77</v>
      </c>
    </row>
    <row r="1903" spans="1:33" x14ac:dyDescent="0.25">
      <c r="A1903" t="str">
        <f>"1912940214"</f>
        <v>1912940214</v>
      </c>
      <c r="B1903" t="str">
        <f>"01874813"</f>
        <v>01874813</v>
      </c>
      <c r="C1903" t="s">
        <v>10133</v>
      </c>
      <c r="D1903" t="s">
        <v>10134</v>
      </c>
      <c r="E1903" t="s">
        <v>10135</v>
      </c>
      <c r="G1903" t="s">
        <v>4852</v>
      </c>
      <c r="H1903" t="s">
        <v>4853</v>
      </c>
      <c r="J1903" t="s">
        <v>4854</v>
      </c>
      <c r="L1903" t="s">
        <v>80</v>
      </c>
      <c r="M1903" t="s">
        <v>72</v>
      </c>
      <c r="R1903" t="s">
        <v>10136</v>
      </c>
      <c r="W1903" t="s">
        <v>10135</v>
      </c>
      <c r="X1903" t="s">
        <v>1895</v>
      </c>
      <c r="Y1903" t="s">
        <v>1079</v>
      </c>
      <c r="Z1903" t="s">
        <v>73</v>
      </c>
      <c r="AA1903" t="str">
        <f>"14075-2600"</f>
        <v>14075-2600</v>
      </c>
      <c r="AB1903" t="s">
        <v>74</v>
      </c>
      <c r="AC1903" t="s">
        <v>75</v>
      </c>
      <c r="AD1903" t="s">
        <v>72</v>
      </c>
      <c r="AE1903" t="s">
        <v>76</v>
      </c>
      <c r="AF1903" t="s">
        <v>3961</v>
      </c>
      <c r="AG1903" t="s">
        <v>77</v>
      </c>
    </row>
    <row r="1904" spans="1:33" x14ac:dyDescent="0.25">
      <c r="A1904" t="str">
        <f>"1639102874"</f>
        <v>1639102874</v>
      </c>
      <c r="B1904" t="str">
        <f>"01918950"</f>
        <v>01918950</v>
      </c>
      <c r="C1904" t="s">
        <v>10137</v>
      </c>
      <c r="D1904" t="s">
        <v>10138</v>
      </c>
      <c r="E1904" t="s">
        <v>10139</v>
      </c>
      <c r="G1904" t="s">
        <v>10137</v>
      </c>
      <c r="H1904" t="s">
        <v>10140</v>
      </c>
      <c r="J1904" t="s">
        <v>10141</v>
      </c>
      <c r="L1904" t="s">
        <v>80</v>
      </c>
      <c r="M1904" t="s">
        <v>72</v>
      </c>
      <c r="R1904" t="s">
        <v>10142</v>
      </c>
      <c r="W1904" t="s">
        <v>10143</v>
      </c>
      <c r="X1904" t="s">
        <v>234</v>
      </c>
      <c r="Y1904" t="s">
        <v>117</v>
      </c>
      <c r="Z1904" t="s">
        <v>73</v>
      </c>
      <c r="AA1904" t="str">
        <f>"14220-2039"</f>
        <v>14220-2039</v>
      </c>
      <c r="AB1904" t="s">
        <v>74</v>
      </c>
      <c r="AC1904" t="s">
        <v>75</v>
      </c>
      <c r="AD1904" t="s">
        <v>72</v>
      </c>
      <c r="AE1904" t="s">
        <v>76</v>
      </c>
      <c r="AF1904" t="s">
        <v>3961</v>
      </c>
      <c r="AG1904" t="s">
        <v>77</v>
      </c>
    </row>
    <row r="1905" spans="1:33" x14ac:dyDescent="0.25">
      <c r="A1905" t="str">
        <f>"1871778308"</f>
        <v>1871778308</v>
      </c>
      <c r="B1905" t="str">
        <f>"02936767"</f>
        <v>02936767</v>
      </c>
      <c r="C1905" t="s">
        <v>10144</v>
      </c>
      <c r="D1905" t="s">
        <v>10145</v>
      </c>
      <c r="E1905" t="s">
        <v>10146</v>
      </c>
      <c r="G1905" t="s">
        <v>4093</v>
      </c>
      <c r="H1905" t="s">
        <v>4094</v>
      </c>
      <c r="I1905">
        <v>223</v>
      </c>
      <c r="J1905" t="s">
        <v>4095</v>
      </c>
      <c r="L1905" t="s">
        <v>80</v>
      </c>
      <c r="M1905" t="s">
        <v>81</v>
      </c>
      <c r="R1905" t="s">
        <v>10147</v>
      </c>
      <c r="W1905" t="s">
        <v>10148</v>
      </c>
      <c r="X1905" t="s">
        <v>4097</v>
      </c>
      <c r="Y1905" t="s">
        <v>242</v>
      </c>
      <c r="Z1905" t="s">
        <v>73</v>
      </c>
      <c r="AA1905" t="str">
        <f>"14701-9385"</f>
        <v>14701-9385</v>
      </c>
      <c r="AB1905" t="s">
        <v>74</v>
      </c>
      <c r="AC1905" t="s">
        <v>75</v>
      </c>
      <c r="AD1905" t="s">
        <v>72</v>
      </c>
      <c r="AE1905" t="s">
        <v>76</v>
      </c>
      <c r="AF1905" t="s">
        <v>4049</v>
      </c>
      <c r="AG1905" t="s">
        <v>77</v>
      </c>
    </row>
    <row r="1906" spans="1:33" x14ac:dyDescent="0.25">
      <c r="A1906" t="str">
        <f>"1699741363"</f>
        <v>1699741363</v>
      </c>
      <c r="B1906" t="str">
        <f>"02364721"</f>
        <v>02364721</v>
      </c>
      <c r="C1906" t="s">
        <v>10149</v>
      </c>
      <c r="D1906" t="s">
        <v>10150</v>
      </c>
      <c r="E1906" t="s">
        <v>10151</v>
      </c>
      <c r="L1906" t="s">
        <v>80</v>
      </c>
      <c r="M1906" t="s">
        <v>72</v>
      </c>
      <c r="R1906" t="s">
        <v>10152</v>
      </c>
      <c r="W1906" t="s">
        <v>10151</v>
      </c>
      <c r="X1906" t="s">
        <v>10153</v>
      </c>
      <c r="Y1906" t="s">
        <v>247</v>
      </c>
      <c r="Z1906" t="s">
        <v>73</v>
      </c>
      <c r="AA1906" t="str">
        <f>"14225-4031"</f>
        <v>14225-4031</v>
      </c>
      <c r="AB1906" t="s">
        <v>74</v>
      </c>
      <c r="AC1906" t="s">
        <v>75</v>
      </c>
      <c r="AD1906" t="s">
        <v>72</v>
      </c>
      <c r="AE1906" t="s">
        <v>76</v>
      </c>
      <c r="AF1906" t="s">
        <v>4431</v>
      </c>
      <c r="AG1906" t="s">
        <v>77</v>
      </c>
    </row>
    <row r="1907" spans="1:33" x14ac:dyDescent="0.25">
      <c r="A1907" t="str">
        <f>"1215934294"</f>
        <v>1215934294</v>
      </c>
      <c r="B1907" t="str">
        <f>"02346243"</f>
        <v>02346243</v>
      </c>
      <c r="C1907" t="s">
        <v>10154</v>
      </c>
      <c r="D1907" t="s">
        <v>2682</v>
      </c>
      <c r="E1907" t="s">
        <v>2683</v>
      </c>
      <c r="L1907" t="s">
        <v>79</v>
      </c>
      <c r="M1907" t="s">
        <v>72</v>
      </c>
      <c r="R1907" t="s">
        <v>2684</v>
      </c>
      <c r="W1907" t="s">
        <v>2683</v>
      </c>
      <c r="X1907" t="s">
        <v>2683</v>
      </c>
      <c r="Y1907" t="s">
        <v>436</v>
      </c>
      <c r="Z1907" t="s">
        <v>73</v>
      </c>
      <c r="AA1907" t="str">
        <f>"14217-1304"</f>
        <v>14217-1304</v>
      </c>
      <c r="AB1907" t="s">
        <v>74</v>
      </c>
      <c r="AC1907" t="s">
        <v>75</v>
      </c>
      <c r="AD1907" t="s">
        <v>72</v>
      </c>
      <c r="AE1907" t="s">
        <v>76</v>
      </c>
      <c r="AF1907" t="s">
        <v>3974</v>
      </c>
      <c r="AG1907" t="s">
        <v>77</v>
      </c>
    </row>
    <row r="1908" spans="1:33" x14ac:dyDescent="0.25">
      <c r="A1908" t="str">
        <f>"1437143575"</f>
        <v>1437143575</v>
      </c>
      <c r="B1908" t="str">
        <f>"02639518"</f>
        <v>02639518</v>
      </c>
      <c r="C1908" t="s">
        <v>10155</v>
      </c>
      <c r="D1908" t="s">
        <v>10156</v>
      </c>
      <c r="E1908" t="s">
        <v>10157</v>
      </c>
      <c r="L1908" t="s">
        <v>71</v>
      </c>
      <c r="M1908" t="s">
        <v>81</v>
      </c>
      <c r="R1908" t="s">
        <v>10158</v>
      </c>
      <c r="W1908" t="s">
        <v>10159</v>
      </c>
      <c r="X1908" t="s">
        <v>10160</v>
      </c>
      <c r="Y1908" t="s">
        <v>1079</v>
      </c>
      <c r="Z1908" t="s">
        <v>73</v>
      </c>
      <c r="AA1908" t="str">
        <f>"14075-0000"</f>
        <v>14075-0000</v>
      </c>
      <c r="AB1908" t="s">
        <v>74</v>
      </c>
      <c r="AC1908" t="s">
        <v>75</v>
      </c>
      <c r="AD1908" t="s">
        <v>72</v>
      </c>
      <c r="AE1908" t="s">
        <v>76</v>
      </c>
      <c r="AF1908" t="s">
        <v>4043</v>
      </c>
      <c r="AG1908" t="s">
        <v>77</v>
      </c>
    </row>
    <row r="1909" spans="1:33" x14ac:dyDescent="0.25">
      <c r="A1909" t="str">
        <f>"1134105950"</f>
        <v>1134105950</v>
      </c>
      <c r="B1909" t="str">
        <f>"01804291"</f>
        <v>01804291</v>
      </c>
      <c r="C1909" t="s">
        <v>10161</v>
      </c>
      <c r="D1909" t="s">
        <v>10162</v>
      </c>
      <c r="E1909" t="s">
        <v>10163</v>
      </c>
      <c r="L1909" t="s">
        <v>80</v>
      </c>
      <c r="M1909" t="s">
        <v>72</v>
      </c>
      <c r="R1909" t="s">
        <v>10164</v>
      </c>
      <c r="W1909" t="s">
        <v>10165</v>
      </c>
      <c r="X1909" t="s">
        <v>10153</v>
      </c>
      <c r="Y1909" t="s">
        <v>247</v>
      </c>
      <c r="Z1909" t="s">
        <v>73</v>
      </c>
      <c r="AA1909" t="str">
        <f>"14225-4031"</f>
        <v>14225-4031</v>
      </c>
      <c r="AB1909" t="s">
        <v>74</v>
      </c>
      <c r="AC1909" t="s">
        <v>75</v>
      </c>
      <c r="AD1909" t="s">
        <v>72</v>
      </c>
      <c r="AE1909" t="s">
        <v>76</v>
      </c>
      <c r="AF1909" t="s">
        <v>4431</v>
      </c>
      <c r="AG1909" t="s">
        <v>77</v>
      </c>
    </row>
    <row r="1910" spans="1:33" x14ac:dyDescent="0.25">
      <c r="A1910" t="str">
        <f>"1063421105"</f>
        <v>1063421105</v>
      </c>
      <c r="B1910" t="str">
        <f>"03975660"</f>
        <v>03975660</v>
      </c>
      <c r="C1910" t="s">
        <v>10166</v>
      </c>
      <c r="D1910" t="s">
        <v>10167</v>
      </c>
      <c r="E1910" t="s">
        <v>10168</v>
      </c>
      <c r="L1910" t="s">
        <v>79</v>
      </c>
      <c r="M1910" t="s">
        <v>72</v>
      </c>
      <c r="R1910" t="s">
        <v>10169</v>
      </c>
      <c r="W1910" t="s">
        <v>10168</v>
      </c>
      <c r="X1910" t="s">
        <v>5884</v>
      </c>
      <c r="Y1910" t="s">
        <v>326</v>
      </c>
      <c r="Z1910" t="s">
        <v>73</v>
      </c>
      <c r="AA1910" t="str">
        <f>"14127-1705"</f>
        <v>14127-1705</v>
      </c>
      <c r="AB1910" t="s">
        <v>74</v>
      </c>
      <c r="AC1910" t="s">
        <v>75</v>
      </c>
      <c r="AD1910" t="s">
        <v>72</v>
      </c>
      <c r="AE1910" t="s">
        <v>76</v>
      </c>
      <c r="AF1910" t="s">
        <v>3961</v>
      </c>
      <c r="AG1910" t="s">
        <v>77</v>
      </c>
    </row>
    <row r="1911" spans="1:33" x14ac:dyDescent="0.25">
      <c r="A1911" t="str">
        <f>"1568454973"</f>
        <v>1568454973</v>
      </c>
      <c r="B1911" t="str">
        <f>"02505397"</f>
        <v>02505397</v>
      </c>
      <c r="C1911" t="s">
        <v>10170</v>
      </c>
      <c r="D1911" t="s">
        <v>10171</v>
      </c>
      <c r="E1911" t="s">
        <v>10172</v>
      </c>
      <c r="L1911" t="s">
        <v>71</v>
      </c>
      <c r="M1911" t="s">
        <v>72</v>
      </c>
      <c r="R1911" t="s">
        <v>10173</v>
      </c>
      <c r="W1911" t="s">
        <v>10172</v>
      </c>
      <c r="X1911" t="s">
        <v>377</v>
      </c>
      <c r="Y1911" t="s">
        <v>247</v>
      </c>
      <c r="Z1911" t="s">
        <v>73</v>
      </c>
      <c r="AA1911" t="str">
        <f>"14225-4031"</f>
        <v>14225-4031</v>
      </c>
      <c r="AB1911" t="s">
        <v>74</v>
      </c>
      <c r="AC1911" t="s">
        <v>75</v>
      </c>
      <c r="AD1911" t="s">
        <v>72</v>
      </c>
      <c r="AE1911" t="s">
        <v>76</v>
      </c>
      <c r="AF1911" t="s">
        <v>3974</v>
      </c>
      <c r="AG1911" t="s">
        <v>77</v>
      </c>
    </row>
    <row r="1912" spans="1:33" x14ac:dyDescent="0.25">
      <c r="A1912" t="str">
        <f>"1588698203"</f>
        <v>1588698203</v>
      </c>
      <c r="B1912" t="str">
        <f>"01276728"</f>
        <v>01276728</v>
      </c>
      <c r="C1912" t="s">
        <v>10174</v>
      </c>
      <c r="D1912" t="s">
        <v>10175</v>
      </c>
      <c r="E1912" t="s">
        <v>10176</v>
      </c>
      <c r="L1912" t="s">
        <v>79</v>
      </c>
      <c r="M1912" t="s">
        <v>72</v>
      </c>
      <c r="R1912" t="s">
        <v>10177</v>
      </c>
      <c r="W1912" t="s">
        <v>10176</v>
      </c>
      <c r="X1912" t="s">
        <v>5769</v>
      </c>
      <c r="Y1912" t="s">
        <v>1079</v>
      </c>
      <c r="Z1912" t="s">
        <v>73</v>
      </c>
      <c r="AA1912" t="str">
        <f>"14075-2600"</f>
        <v>14075-2600</v>
      </c>
      <c r="AB1912" t="s">
        <v>74</v>
      </c>
      <c r="AC1912" t="s">
        <v>75</v>
      </c>
      <c r="AD1912" t="s">
        <v>72</v>
      </c>
      <c r="AE1912" t="s">
        <v>76</v>
      </c>
      <c r="AF1912" t="s">
        <v>3961</v>
      </c>
      <c r="AG1912" t="s">
        <v>77</v>
      </c>
    </row>
    <row r="1913" spans="1:33" x14ac:dyDescent="0.25">
      <c r="A1913" t="str">
        <f>"1003809864"</f>
        <v>1003809864</v>
      </c>
      <c r="B1913" t="str">
        <f>"02343873"</f>
        <v>02343873</v>
      </c>
      <c r="C1913" t="s">
        <v>10178</v>
      </c>
      <c r="D1913" t="s">
        <v>10179</v>
      </c>
      <c r="E1913" t="s">
        <v>10180</v>
      </c>
      <c r="L1913" t="s">
        <v>79</v>
      </c>
      <c r="M1913" t="s">
        <v>72</v>
      </c>
      <c r="R1913" t="s">
        <v>10181</v>
      </c>
      <c r="W1913" t="s">
        <v>10180</v>
      </c>
      <c r="X1913" t="s">
        <v>908</v>
      </c>
      <c r="Y1913" t="s">
        <v>630</v>
      </c>
      <c r="Z1913" t="s">
        <v>73</v>
      </c>
      <c r="AA1913" t="str">
        <f>"14043-4783"</f>
        <v>14043-4783</v>
      </c>
      <c r="AB1913" t="s">
        <v>74</v>
      </c>
      <c r="AC1913" t="s">
        <v>75</v>
      </c>
      <c r="AD1913" t="s">
        <v>72</v>
      </c>
      <c r="AE1913" t="s">
        <v>76</v>
      </c>
      <c r="AF1913" t="s">
        <v>3974</v>
      </c>
      <c r="AG1913" t="s">
        <v>77</v>
      </c>
    </row>
    <row r="1914" spans="1:33" x14ac:dyDescent="0.25">
      <c r="A1914" t="str">
        <f>"1235446147"</f>
        <v>1235446147</v>
      </c>
      <c r="B1914" t="str">
        <f>"03420862"</f>
        <v>03420862</v>
      </c>
      <c r="C1914" t="s">
        <v>10182</v>
      </c>
      <c r="D1914" t="s">
        <v>10183</v>
      </c>
      <c r="E1914" t="s">
        <v>10184</v>
      </c>
      <c r="L1914" t="s">
        <v>71</v>
      </c>
      <c r="M1914" t="s">
        <v>72</v>
      </c>
      <c r="R1914" t="s">
        <v>10185</v>
      </c>
      <c r="W1914" t="s">
        <v>10184</v>
      </c>
      <c r="X1914" t="s">
        <v>10186</v>
      </c>
      <c r="Y1914" t="s">
        <v>326</v>
      </c>
      <c r="Z1914" t="s">
        <v>73</v>
      </c>
      <c r="AA1914" t="str">
        <f>"14127-1599"</f>
        <v>14127-1599</v>
      </c>
      <c r="AB1914" t="s">
        <v>74</v>
      </c>
      <c r="AC1914" t="s">
        <v>75</v>
      </c>
      <c r="AD1914" t="s">
        <v>72</v>
      </c>
      <c r="AE1914" t="s">
        <v>76</v>
      </c>
      <c r="AF1914" t="s">
        <v>4043</v>
      </c>
      <c r="AG1914" t="s">
        <v>77</v>
      </c>
    </row>
    <row r="1915" spans="1:33" x14ac:dyDescent="0.25">
      <c r="A1915" t="str">
        <f>"1417045618"</f>
        <v>1417045618</v>
      </c>
      <c r="B1915" t="str">
        <f>"01903300"</f>
        <v>01903300</v>
      </c>
      <c r="C1915" t="s">
        <v>10187</v>
      </c>
      <c r="D1915" t="s">
        <v>10188</v>
      </c>
      <c r="E1915" t="s">
        <v>10189</v>
      </c>
      <c r="L1915" t="s">
        <v>79</v>
      </c>
      <c r="M1915" t="s">
        <v>72</v>
      </c>
      <c r="R1915" t="s">
        <v>10190</v>
      </c>
      <c r="W1915" t="s">
        <v>10189</v>
      </c>
      <c r="X1915" t="s">
        <v>10191</v>
      </c>
      <c r="Y1915" t="s">
        <v>221</v>
      </c>
      <c r="Z1915" t="s">
        <v>73</v>
      </c>
      <c r="AA1915" t="str">
        <f>"14221-2918"</f>
        <v>14221-2918</v>
      </c>
      <c r="AB1915" t="s">
        <v>74</v>
      </c>
      <c r="AC1915" t="s">
        <v>75</v>
      </c>
      <c r="AD1915" t="s">
        <v>72</v>
      </c>
      <c r="AE1915" t="s">
        <v>76</v>
      </c>
      <c r="AF1915" t="s">
        <v>3974</v>
      </c>
      <c r="AG1915" t="s">
        <v>77</v>
      </c>
    </row>
    <row r="1916" spans="1:33" x14ac:dyDescent="0.25">
      <c r="A1916" t="str">
        <f>"1043295843"</f>
        <v>1043295843</v>
      </c>
      <c r="B1916" t="str">
        <f>"01998627"</f>
        <v>01998627</v>
      </c>
      <c r="C1916" t="s">
        <v>10192</v>
      </c>
      <c r="D1916" t="s">
        <v>2999</v>
      </c>
      <c r="E1916" t="s">
        <v>3000</v>
      </c>
      <c r="L1916" t="s">
        <v>79</v>
      </c>
      <c r="M1916" t="s">
        <v>72</v>
      </c>
      <c r="R1916" t="s">
        <v>3001</v>
      </c>
      <c r="W1916" t="s">
        <v>3000</v>
      </c>
      <c r="X1916" t="s">
        <v>2273</v>
      </c>
      <c r="Y1916" t="s">
        <v>237</v>
      </c>
      <c r="Z1916" t="s">
        <v>73</v>
      </c>
      <c r="AA1916" t="str">
        <f>"14224-2654"</f>
        <v>14224-2654</v>
      </c>
      <c r="AB1916" t="s">
        <v>74</v>
      </c>
      <c r="AC1916" t="s">
        <v>75</v>
      </c>
      <c r="AD1916" t="s">
        <v>72</v>
      </c>
      <c r="AE1916" t="s">
        <v>76</v>
      </c>
      <c r="AF1916" t="s">
        <v>3974</v>
      </c>
      <c r="AG1916" t="s">
        <v>77</v>
      </c>
    </row>
    <row r="1917" spans="1:33" x14ac:dyDescent="0.25">
      <c r="A1917" t="str">
        <f>"1922195593"</f>
        <v>1922195593</v>
      </c>
      <c r="B1917" t="str">
        <f>"01857363"</f>
        <v>01857363</v>
      </c>
      <c r="C1917" t="s">
        <v>10193</v>
      </c>
      <c r="D1917" t="s">
        <v>10194</v>
      </c>
      <c r="E1917" t="s">
        <v>10195</v>
      </c>
      <c r="L1917" t="s">
        <v>71</v>
      </c>
      <c r="M1917" t="s">
        <v>72</v>
      </c>
      <c r="R1917" t="s">
        <v>10196</v>
      </c>
      <c r="W1917" t="s">
        <v>10195</v>
      </c>
      <c r="X1917" t="s">
        <v>3125</v>
      </c>
      <c r="Y1917" t="s">
        <v>209</v>
      </c>
      <c r="Z1917" t="s">
        <v>73</v>
      </c>
      <c r="AA1917" t="str">
        <f>"14304-3113"</f>
        <v>14304-3113</v>
      </c>
      <c r="AB1917" t="s">
        <v>74</v>
      </c>
      <c r="AC1917" t="s">
        <v>75</v>
      </c>
      <c r="AD1917" t="s">
        <v>72</v>
      </c>
      <c r="AE1917" t="s">
        <v>76</v>
      </c>
      <c r="AF1917" t="s">
        <v>3974</v>
      </c>
      <c r="AG1917" t="s">
        <v>77</v>
      </c>
    </row>
    <row r="1918" spans="1:33" x14ac:dyDescent="0.25">
      <c r="A1918" t="str">
        <f>"1902883358"</f>
        <v>1902883358</v>
      </c>
      <c r="B1918" t="str">
        <f>"01973431"</f>
        <v>01973431</v>
      </c>
      <c r="C1918" t="s">
        <v>10197</v>
      </c>
      <c r="D1918" t="s">
        <v>10198</v>
      </c>
      <c r="E1918" t="s">
        <v>10199</v>
      </c>
      <c r="L1918" t="s">
        <v>79</v>
      </c>
      <c r="M1918" t="s">
        <v>72</v>
      </c>
      <c r="R1918" t="s">
        <v>10200</v>
      </c>
      <c r="W1918" t="s">
        <v>10199</v>
      </c>
      <c r="X1918" t="s">
        <v>1768</v>
      </c>
      <c r="Y1918" t="s">
        <v>228</v>
      </c>
      <c r="Z1918" t="s">
        <v>73</v>
      </c>
      <c r="AA1918" t="str">
        <f>"14226-2500"</f>
        <v>14226-2500</v>
      </c>
      <c r="AB1918" t="s">
        <v>74</v>
      </c>
      <c r="AC1918" t="s">
        <v>75</v>
      </c>
      <c r="AD1918" t="s">
        <v>72</v>
      </c>
      <c r="AE1918" t="s">
        <v>76</v>
      </c>
      <c r="AF1918" t="s">
        <v>3974</v>
      </c>
      <c r="AG1918" t="s">
        <v>77</v>
      </c>
    </row>
    <row r="1919" spans="1:33" x14ac:dyDescent="0.25">
      <c r="A1919" t="str">
        <f>"1811954738"</f>
        <v>1811954738</v>
      </c>
      <c r="B1919" t="str">
        <f>"01966196"</f>
        <v>01966196</v>
      </c>
      <c r="C1919" t="s">
        <v>10201</v>
      </c>
      <c r="D1919" t="s">
        <v>10202</v>
      </c>
      <c r="E1919" t="s">
        <v>10203</v>
      </c>
      <c r="L1919" t="s">
        <v>80</v>
      </c>
      <c r="M1919" t="s">
        <v>72</v>
      </c>
      <c r="R1919" t="s">
        <v>10204</v>
      </c>
      <c r="W1919" t="s">
        <v>10203</v>
      </c>
      <c r="X1919" t="s">
        <v>10153</v>
      </c>
      <c r="Y1919" t="s">
        <v>247</v>
      </c>
      <c r="Z1919" t="s">
        <v>73</v>
      </c>
      <c r="AA1919" t="str">
        <f>"14225-4031"</f>
        <v>14225-4031</v>
      </c>
      <c r="AB1919" t="s">
        <v>74</v>
      </c>
      <c r="AC1919" t="s">
        <v>75</v>
      </c>
      <c r="AD1919" t="s">
        <v>72</v>
      </c>
      <c r="AE1919" t="s">
        <v>76</v>
      </c>
      <c r="AF1919" t="s">
        <v>4431</v>
      </c>
      <c r="AG1919" t="s">
        <v>77</v>
      </c>
    </row>
    <row r="1920" spans="1:33" x14ac:dyDescent="0.25">
      <c r="A1920" t="str">
        <f>"1942549977"</f>
        <v>1942549977</v>
      </c>
      <c r="C1920" t="s">
        <v>10205</v>
      </c>
      <c r="K1920" t="s">
        <v>89</v>
      </c>
      <c r="L1920" t="s">
        <v>71</v>
      </c>
      <c r="M1920" t="s">
        <v>72</v>
      </c>
      <c r="R1920" t="s">
        <v>10206</v>
      </c>
      <c r="S1920" t="s">
        <v>1305</v>
      </c>
      <c r="T1920" t="s">
        <v>117</v>
      </c>
      <c r="U1920" t="s">
        <v>73</v>
      </c>
      <c r="V1920" t="str">
        <f>"142221836"</f>
        <v>142221836</v>
      </c>
      <c r="AC1920" t="s">
        <v>75</v>
      </c>
      <c r="AD1920" t="s">
        <v>72</v>
      </c>
      <c r="AE1920" t="s">
        <v>93</v>
      </c>
      <c r="AF1920" t="s">
        <v>3974</v>
      </c>
      <c r="AG1920" t="s">
        <v>77</v>
      </c>
    </row>
    <row r="1921" spans="1:33" x14ac:dyDescent="0.25">
      <c r="A1921" t="str">
        <f>"1508179631"</f>
        <v>1508179631</v>
      </c>
      <c r="B1921" t="str">
        <f>"03305497"</f>
        <v>03305497</v>
      </c>
      <c r="C1921" t="s">
        <v>10207</v>
      </c>
      <c r="D1921" t="s">
        <v>10208</v>
      </c>
      <c r="E1921" t="s">
        <v>10209</v>
      </c>
      <c r="L1921" t="s">
        <v>79</v>
      </c>
      <c r="M1921" t="s">
        <v>72</v>
      </c>
      <c r="R1921" t="s">
        <v>10210</v>
      </c>
      <c r="W1921" t="s">
        <v>10211</v>
      </c>
      <c r="X1921" t="s">
        <v>374</v>
      </c>
      <c r="Y1921" t="s">
        <v>221</v>
      </c>
      <c r="Z1921" t="s">
        <v>73</v>
      </c>
      <c r="AA1921" t="str">
        <f>"14221-5760"</f>
        <v>14221-5760</v>
      </c>
      <c r="AB1921" t="s">
        <v>74</v>
      </c>
      <c r="AC1921" t="s">
        <v>75</v>
      </c>
      <c r="AD1921" t="s">
        <v>72</v>
      </c>
      <c r="AE1921" t="s">
        <v>76</v>
      </c>
      <c r="AF1921" t="s">
        <v>4043</v>
      </c>
      <c r="AG1921" t="s">
        <v>77</v>
      </c>
    </row>
    <row r="1922" spans="1:33" x14ac:dyDescent="0.25">
      <c r="A1922" t="str">
        <f>"1356308845"</f>
        <v>1356308845</v>
      </c>
      <c r="B1922" t="str">
        <f>"02430651"</f>
        <v>02430651</v>
      </c>
      <c r="C1922" t="s">
        <v>10212</v>
      </c>
      <c r="D1922" t="s">
        <v>10213</v>
      </c>
      <c r="E1922" t="s">
        <v>10214</v>
      </c>
      <c r="L1922" t="s">
        <v>80</v>
      </c>
      <c r="M1922" t="s">
        <v>72</v>
      </c>
      <c r="R1922" t="s">
        <v>10215</v>
      </c>
      <c r="W1922" t="s">
        <v>10214</v>
      </c>
      <c r="X1922" t="s">
        <v>210</v>
      </c>
      <c r="Y1922" t="s">
        <v>117</v>
      </c>
      <c r="Z1922" t="s">
        <v>73</v>
      </c>
      <c r="AA1922" t="str">
        <f>"14228-2044"</f>
        <v>14228-2044</v>
      </c>
      <c r="AB1922" t="s">
        <v>74</v>
      </c>
      <c r="AC1922" t="s">
        <v>75</v>
      </c>
      <c r="AD1922" t="s">
        <v>72</v>
      </c>
      <c r="AE1922" t="s">
        <v>76</v>
      </c>
      <c r="AF1922" t="s">
        <v>4431</v>
      </c>
      <c r="AG1922" t="s">
        <v>77</v>
      </c>
    </row>
    <row r="1923" spans="1:33" x14ac:dyDescent="0.25">
      <c r="A1923" t="str">
        <f>"1851475792"</f>
        <v>1851475792</v>
      </c>
      <c r="B1923" t="str">
        <f>"02345462"</f>
        <v>02345462</v>
      </c>
      <c r="C1923" t="s">
        <v>10216</v>
      </c>
      <c r="D1923" t="s">
        <v>10217</v>
      </c>
      <c r="E1923" t="s">
        <v>10218</v>
      </c>
      <c r="L1923" t="s">
        <v>79</v>
      </c>
      <c r="M1923" t="s">
        <v>72</v>
      </c>
      <c r="R1923" t="s">
        <v>10219</v>
      </c>
      <c r="W1923" t="s">
        <v>10218</v>
      </c>
      <c r="X1923" t="s">
        <v>173</v>
      </c>
      <c r="Y1923" t="s">
        <v>117</v>
      </c>
      <c r="Z1923" t="s">
        <v>73</v>
      </c>
      <c r="AA1923" t="str">
        <f>"14222-2006"</f>
        <v>14222-2006</v>
      </c>
      <c r="AB1923" t="s">
        <v>74</v>
      </c>
      <c r="AC1923" t="s">
        <v>75</v>
      </c>
      <c r="AD1923" t="s">
        <v>72</v>
      </c>
      <c r="AE1923" t="s">
        <v>76</v>
      </c>
      <c r="AF1923" t="s">
        <v>3974</v>
      </c>
      <c r="AG1923" t="s">
        <v>77</v>
      </c>
    </row>
    <row r="1924" spans="1:33" x14ac:dyDescent="0.25">
      <c r="A1924" t="str">
        <f>"1235492331"</f>
        <v>1235492331</v>
      </c>
      <c r="B1924" t="str">
        <f>"03638740"</f>
        <v>03638740</v>
      </c>
      <c r="C1924" t="s">
        <v>10220</v>
      </c>
      <c r="D1924" t="s">
        <v>2821</v>
      </c>
      <c r="E1924" t="s">
        <v>2822</v>
      </c>
      <c r="L1924" t="s">
        <v>71</v>
      </c>
      <c r="M1924" t="s">
        <v>72</v>
      </c>
      <c r="R1924" t="s">
        <v>2823</v>
      </c>
      <c r="W1924" t="s">
        <v>2822</v>
      </c>
      <c r="X1924" t="s">
        <v>656</v>
      </c>
      <c r="Y1924" t="s">
        <v>221</v>
      </c>
      <c r="Z1924" t="s">
        <v>73</v>
      </c>
      <c r="AA1924" t="str">
        <f>"14221-5258"</f>
        <v>14221-5258</v>
      </c>
      <c r="AB1924" t="s">
        <v>74</v>
      </c>
      <c r="AC1924" t="s">
        <v>75</v>
      </c>
      <c r="AD1924" t="s">
        <v>72</v>
      </c>
      <c r="AE1924" t="s">
        <v>76</v>
      </c>
      <c r="AF1924" t="s">
        <v>4043</v>
      </c>
      <c r="AG1924" t="s">
        <v>77</v>
      </c>
    </row>
    <row r="1925" spans="1:33" x14ac:dyDescent="0.25">
      <c r="A1925" t="str">
        <f>"1497752919"</f>
        <v>1497752919</v>
      </c>
      <c r="B1925" t="str">
        <f>"02343204"</f>
        <v>02343204</v>
      </c>
      <c r="C1925" t="s">
        <v>10221</v>
      </c>
      <c r="D1925" t="s">
        <v>10222</v>
      </c>
      <c r="E1925" t="s">
        <v>10223</v>
      </c>
      <c r="L1925" t="s">
        <v>79</v>
      </c>
      <c r="M1925" t="s">
        <v>72</v>
      </c>
      <c r="R1925" t="s">
        <v>10224</v>
      </c>
      <c r="W1925" t="s">
        <v>10223</v>
      </c>
      <c r="X1925" t="s">
        <v>175</v>
      </c>
      <c r="Y1925" t="s">
        <v>117</v>
      </c>
      <c r="Z1925" t="s">
        <v>73</v>
      </c>
      <c r="AA1925" t="str">
        <f>"14209-1118"</f>
        <v>14209-1118</v>
      </c>
      <c r="AB1925" t="s">
        <v>74</v>
      </c>
      <c r="AC1925" t="s">
        <v>75</v>
      </c>
      <c r="AD1925" t="s">
        <v>72</v>
      </c>
      <c r="AE1925" t="s">
        <v>76</v>
      </c>
      <c r="AF1925" t="s">
        <v>3974</v>
      </c>
      <c r="AG1925" t="s">
        <v>77</v>
      </c>
    </row>
    <row r="1926" spans="1:33" x14ac:dyDescent="0.25">
      <c r="A1926" t="str">
        <f>"1518389238"</f>
        <v>1518389238</v>
      </c>
      <c r="B1926" t="str">
        <f>"03797844"</f>
        <v>03797844</v>
      </c>
      <c r="C1926" t="s">
        <v>10225</v>
      </c>
      <c r="D1926" t="s">
        <v>10226</v>
      </c>
      <c r="E1926" t="s">
        <v>10227</v>
      </c>
      <c r="L1926" t="s">
        <v>79</v>
      </c>
      <c r="M1926" t="s">
        <v>72</v>
      </c>
      <c r="R1926" t="s">
        <v>10227</v>
      </c>
      <c r="W1926" t="s">
        <v>10227</v>
      </c>
      <c r="X1926" t="s">
        <v>10228</v>
      </c>
      <c r="Y1926" t="s">
        <v>851</v>
      </c>
      <c r="Z1926" t="s">
        <v>73</v>
      </c>
      <c r="AA1926" t="str">
        <f>"14047-9431"</f>
        <v>14047-9431</v>
      </c>
      <c r="AB1926" t="s">
        <v>74</v>
      </c>
      <c r="AC1926" t="s">
        <v>75</v>
      </c>
      <c r="AD1926" t="s">
        <v>72</v>
      </c>
      <c r="AE1926" t="s">
        <v>76</v>
      </c>
      <c r="AF1926" t="s">
        <v>3961</v>
      </c>
      <c r="AG1926" t="s">
        <v>77</v>
      </c>
    </row>
    <row r="1927" spans="1:33" x14ac:dyDescent="0.25">
      <c r="A1927" t="str">
        <f>"1487629515"</f>
        <v>1487629515</v>
      </c>
      <c r="B1927" t="str">
        <f>"00722069"</f>
        <v>00722069</v>
      </c>
      <c r="C1927" t="s">
        <v>10229</v>
      </c>
      <c r="D1927" t="s">
        <v>2051</v>
      </c>
      <c r="E1927" t="s">
        <v>2052</v>
      </c>
      <c r="G1927" t="s">
        <v>4047</v>
      </c>
      <c r="H1927" t="s">
        <v>634</v>
      </c>
      <c r="J1927" t="s">
        <v>4048</v>
      </c>
      <c r="L1927" t="s">
        <v>80</v>
      </c>
      <c r="M1927" t="s">
        <v>72</v>
      </c>
      <c r="R1927" t="s">
        <v>2053</v>
      </c>
      <c r="W1927" t="s">
        <v>2054</v>
      </c>
      <c r="X1927" t="s">
        <v>379</v>
      </c>
      <c r="Y1927" t="s">
        <v>354</v>
      </c>
      <c r="Z1927" t="s">
        <v>73</v>
      </c>
      <c r="AA1927" t="str">
        <f>"14787-1104"</f>
        <v>14787-1104</v>
      </c>
      <c r="AB1927" t="s">
        <v>74</v>
      </c>
      <c r="AC1927" t="s">
        <v>75</v>
      </c>
      <c r="AD1927" t="s">
        <v>72</v>
      </c>
      <c r="AE1927" t="s">
        <v>76</v>
      </c>
      <c r="AF1927" t="s">
        <v>4049</v>
      </c>
      <c r="AG1927" t="s">
        <v>77</v>
      </c>
    </row>
    <row r="1928" spans="1:33" x14ac:dyDescent="0.25">
      <c r="A1928" t="str">
        <f>"1245209634"</f>
        <v>1245209634</v>
      </c>
      <c r="B1928" t="str">
        <f>"01074684"</f>
        <v>01074684</v>
      </c>
      <c r="C1928" t="s">
        <v>10230</v>
      </c>
      <c r="D1928" t="s">
        <v>2824</v>
      </c>
      <c r="E1928" t="s">
        <v>2825</v>
      </c>
      <c r="G1928" t="s">
        <v>4779</v>
      </c>
      <c r="H1928" t="s">
        <v>4780</v>
      </c>
      <c r="J1928" t="s">
        <v>4781</v>
      </c>
      <c r="L1928" t="s">
        <v>80</v>
      </c>
      <c r="M1928" t="s">
        <v>72</v>
      </c>
      <c r="R1928" t="s">
        <v>2826</v>
      </c>
      <c r="W1928" t="s">
        <v>2827</v>
      </c>
      <c r="X1928" t="s">
        <v>2032</v>
      </c>
      <c r="Y1928" t="s">
        <v>326</v>
      </c>
      <c r="Z1928" t="s">
        <v>73</v>
      </c>
      <c r="AA1928" t="str">
        <f>"14127-1538"</f>
        <v>14127-1538</v>
      </c>
      <c r="AB1928" t="s">
        <v>74</v>
      </c>
      <c r="AC1928" t="s">
        <v>75</v>
      </c>
      <c r="AD1928" t="s">
        <v>72</v>
      </c>
      <c r="AE1928" t="s">
        <v>76</v>
      </c>
      <c r="AF1928" t="s">
        <v>3961</v>
      </c>
      <c r="AG1928" t="s">
        <v>77</v>
      </c>
    </row>
    <row r="1929" spans="1:33" x14ac:dyDescent="0.25">
      <c r="A1929" t="str">
        <f>"1053382051"</f>
        <v>1053382051</v>
      </c>
      <c r="B1929" t="str">
        <f>"02119762"</f>
        <v>02119762</v>
      </c>
      <c r="C1929" t="s">
        <v>10231</v>
      </c>
      <c r="D1929" t="s">
        <v>10232</v>
      </c>
      <c r="E1929" t="s">
        <v>10233</v>
      </c>
      <c r="G1929" t="s">
        <v>10234</v>
      </c>
      <c r="H1929" t="s">
        <v>10235</v>
      </c>
      <c r="J1929" t="s">
        <v>10236</v>
      </c>
      <c r="L1929" t="s">
        <v>79</v>
      </c>
      <c r="M1929" t="s">
        <v>72</v>
      </c>
      <c r="R1929" t="s">
        <v>10237</v>
      </c>
      <c r="W1929" t="s">
        <v>10233</v>
      </c>
      <c r="X1929" t="s">
        <v>229</v>
      </c>
      <c r="Y1929" t="s">
        <v>120</v>
      </c>
      <c r="Z1929" t="s">
        <v>73</v>
      </c>
      <c r="AA1929" t="str">
        <f>"13210-2342"</f>
        <v>13210-2342</v>
      </c>
      <c r="AB1929" t="s">
        <v>74</v>
      </c>
      <c r="AC1929" t="s">
        <v>75</v>
      </c>
      <c r="AD1929" t="s">
        <v>72</v>
      </c>
      <c r="AE1929" t="s">
        <v>76</v>
      </c>
      <c r="AF1929" t="s">
        <v>3974</v>
      </c>
      <c r="AG1929" t="s">
        <v>77</v>
      </c>
    </row>
    <row r="1930" spans="1:33" x14ac:dyDescent="0.25">
      <c r="A1930" t="str">
        <f>"1710158134"</f>
        <v>1710158134</v>
      </c>
      <c r="B1930" t="str">
        <f>"00356538"</f>
        <v>00356538</v>
      </c>
      <c r="C1930" t="s">
        <v>10238</v>
      </c>
      <c r="D1930" t="s">
        <v>1018</v>
      </c>
      <c r="E1930" t="s">
        <v>1019</v>
      </c>
      <c r="G1930" t="s">
        <v>10239</v>
      </c>
      <c r="H1930" t="s">
        <v>10240</v>
      </c>
      <c r="J1930" t="s">
        <v>10241</v>
      </c>
      <c r="L1930" t="s">
        <v>152</v>
      </c>
      <c r="M1930" t="s">
        <v>81</v>
      </c>
      <c r="R1930" t="s">
        <v>1017</v>
      </c>
      <c r="W1930" t="s">
        <v>1019</v>
      </c>
      <c r="X1930" t="s">
        <v>1020</v>
      </c>
      <c r="Y1930" t="s">
        <v>221</v>
      </c>
      <c r="Z1930" t="s">
        <v>73</v>
      </c>
      <c r="AA1930" t="str">
        <f>"14221-5821"</f>
        <v>14221-5821</v>
      </c>
      <c r="AB1930" t="s">
        <v>83</v>
      </c>
      <c r="AC1930" t="s">
        <v>75</v>
      </c>
      <c r="AD1930" t="s">
        <v>72</v>
      </c>
      <c r="AE1930" t="s">
        <v>76</v>
      </c>
      <c r="AF1930" t="s">
        <v>4879</v>
      </c>
      <c r="AG1930" t="s">
        <v>77</v>
      </c>
    </row>
    <row r="1931" spans="1:33" x14ac:dyDescent="0.25">
      <c r="A1931" t="str">
        <f>"1841283629"</f>
        <v>1841283629</v>
      </c>
      <c r="B1931" t="str">
        <f>"02411594"</f>
        <v>02411594</v>
      </c>
      <c r="C1931" t="s">
        <v>10242</v>
      </c>
      <c r="D1931" t="s">
        <v>3565</v>
      </c>
      <c r="E1931" t="s">
        <v>3566</v>
      </c>
      <c r="G1931" t="s">
        <v>10243</v>
      </c>
      <c r="H1931" t="s">
        <v>3567</v>
      </c>
      <c r="J1931" t="s">
        <v>10244</v>
      </c>
      <c r="L1931" t="s">
        <v>80</v>
      </c>
      <c r="M1931" t="s">
        <v>72</v>
      </c>
      <c r="R1931" t="s">
        <v>3566</v>
      </c>
      <c r="W1931" t="s">
        <v>3566</v>
      </c>
      <c r="X1931" t="s">
        <v>3568</v>
      </c>
      <c r="Y1931" t="s">
        <v>117</v>
      </c>
      <c r="Z1931" t="s">
        <v>73</v>
      </c>
      <c r="AA1931" t="str">
        <f>"14203-1154"</f>
        <v>14203-1154</v>
      </c>
      <c r="AB1931" t="s">
        <v>74</v>
      </c>
      <c r="AC1931" t="s">
        <v>75</v>
      </c>
      <c r="AD1931" t="s">
        <v>72</v>
      </c>
      <c r="AE1931" t="s">
        <v>76</v>
      </c>
      <c r="AF1931" t="s">
        <v>3961</v>
      </c>
      <c r="AG1931" t="s">
        <v>77</v>
      </c>
    </row>
    <row r="1932" spans="1:33" x14ac:dyDescent="0.25">
      <c r="A1932" t="str">
        <f>"1780757641"</f>
        <v>1780757641</v>
      </c>
      <c r="B1932" t="str">
        <f>"02899489"</f>
        <v>02899489</v>
      </c>
      <c r="C1932" t="s">
        <v>10245</v>
      </c>
      <c r="D1932" t="s">
        <v>1689</v>
      </c>
      <c r="E1932" t="s">
        <v>1690</v>
      </c>
      <c r="G1932" t="s">
        <v>5478</v>
      </c>
      <c r="H1932" t="s">
        <v>793</v>
      </c>
      <c r="J1932" t="s">
        <v>5479</v>
      </c>
      <c r="L1932" t="s">
        <v>79</v>
      </c>
      <c r="M1932" t="s">
        <v>72</v>
      </c>
      <c r="R1932" t="s">
        <v>1691</v>
      </c>
      <c r="W1932" t="s">
        <v>1690</v>
      </c>
      <c r="X1932" t="s">
        <v>1692</v>
      </c>
      <c r="Y1932" t="s">
        <v>326</v>
      </c>
      <c r="Z1932" t="s">
        <v>73</v>
      </c>
      <c r="AA1932" t="str">
        <f>"14127-1577"</f>
        <v>14127-1577</v>
      </c>
      <c r="AB1932" t="s">
        <v>74</v>
      </c>
      <c r="AC1932" t="s">
        <v>75</v>
      </c>
      <c r="AD1932" t="s">
        <v>72</v>
      </c>
      <c r="AE1932" t="s">
        <v>76</v>
      </c>
      <c r="AF1932" t="s">
        <v>3974</v>
      </c>
      <c r="AG1932" t="s">
        <v>77</v>
      </c>
    </row>
    <row r="1933" spans="1:33" x14ac:dyDescent="0.25">
      <c r="A1933" t="str">
        <f>"1669472080"</f>
        <v>1669472080</v>
      </c>
      <c r="B1933" t="str">
        <f>"02162334"</f>
        <v>02162334</v>
      </c>
      <c r="C1933" t="s">
        <v>10246</v>
      </c>
      <c r="D1933" t="s">
        <v>3141</v>
      </c>
      <c r="E1933" t="s">
        <v>3142</v>
      </c>
      <c r="G1933" t="s">
        <v>10247</v>
      </c>
      <c r="H1933" t="s">
        <v>10248</v>
      </c>
      <c r="J1933" t="s">
        <v>10249</v>
      </c>
      <c r="L1933" t="s">
        <v>79</v>
      </c>
      <c r="M1933" t="s">
        <v>72</v>
      </c>
      <c r="R1933" t="s">
        <v>3143</v>
      </c>
      <c r="W1933" t="s">
        <v>3142</v>
      </c>
      <c r="X1933" t="s">
        <v>3144</v>
      </c>
      <c r="Y1933" t="s">
        <v>237</v>
      </c>
      <c r="Z1933" t="s">
        <v>73</v>
      </c>
      <c r="AA1933" t="str">
        <f>"14224-2646"</f>
        <v>14224-2646</v>
      </c>
      <c r="AB1933" t="s">
        <v>74</v>
      </c>
      <c r="AC1933" t="s">
        <v>75</v>
      </c>
      <c r="AD1933" t="s">
        <v>72</v>
      </c>
      <c r="AE1933" t="s">
        <v>76</v>
      </c>
      <c r="AF1933" t="s">
        <v>3974</v>
      </c>
      <c r="AG1933" t="s">
        <v>77</v>
      </c>
    </row>
    <row r="1934" spans="1:33" x14ac:dyDescent="0.25">
      <c r="A1934" t="str">
        <f>"1154488351"</f>
        <v>1154488351</v>
      </c>
      <c r="B1934" t="str">
        <f>"01352592"</f>
        <v>01352592</v>
      </c>
      <c r="C1934" t="s">
        <v>10250</v>
      </c>
      <c r="D1934" t="s">
        <v>2129</v>
      </c>
      <c r="E1934" t="s">
        <v>2130</v>
      </c>
      <c r="G1934" t="s">
        <v>10251</v>
      </c>
      <c r="H1934" t="s">
        <v>2131</v>
      </c>
      <c r="J1934" t="s">
        <v>10252</v>
      </c>
      <c r="L1934" t="s">
        <v>80</v>
      </c>
      <c r="M1934" t="s">
        <v>72</v>
      </c>
      <c r="R1934" t="s">
        <v>2132</v>
      </c>
      <c r="W1934" t="s">
        <v>2133</v>
      </c>
      <c r="X1934" t="s">
        <v>2134</v>
      </c>
      <c r="Y1934" t="s">
        <v>436</v>
      </c>
      <c r="Z1934" t="s">
        <v>73</v>
      </c>
      <c r="AA1934" t="str">
        <f>"14217-1094"</f>
        <v>14217-1094</v>
      </c>
      <c r="AB1934" t="s">
        <v>74</v>
      </c>
      <c r="AC1934" t="s">
        <v>75</v>
      </c>
      <c r="AD1934" t="s">
        <v>72</v>
      </c>
      <c r="AE1934" t="s">
        <v>76</v>
      </c>
      <c r="AF1934" t="s">
        <v>3961</v>
      </c>
      <c r="AG1934" t="s">
        <v>77</v>
      </c>
    </row>
    <row r="1935" spans="1:33" x14ac:dyDescent="0.25">
      <c r="A1935" t="str">
        <f>"1396703583"</f>
        <v>1396703583</v>
      </c>
      <c r="B1935" t="str">
        <f>"01122774"</f>
        <v>01122774</v>
      </c>
      <c r="C1935" t="s">
        <v>10253</v>
      </c>
      <c r="D1935" t="s">
        <v>10254</v>
      </c>
      <c r="E1935" t="s">
        <v>10255</v>
      </c>
      <c r="G1935" t="s">
        <v>10253</v>
      </c>
      <c r="H1935" t="s">
        <v>10256</v>
      </c>
      <c r="J1935" t="s">
        <v>10257</v>
      </c>
      <c r="L1935" t="s">
        <v>71</v>
      </c>
      <c r="M1935" t="s">
        <v>72</v>
      </c>
      <c r="R1935" t="s">
        <v>10258</v>
      </c>
      <c r="W1935" t="s">
        <v>10255</v>
      </c>
      <c r="X1935" t="s">
        <v>1146</v>
      </c>
      <c r="Y1935" t="s">
        <v>436</v>
      </c>
      <c r="Z1935" t="s">
        <v>73</v>
      </c>
      <c r="AA1935" t="str">
        <f>"14217-1304"</f>
        <v>14217-1304</v>
      </c>
      <c r="AB1935" t="s">
        <v>74</v>
      </c>
      <c r="AC1935" t="s">
        <v>75</v>
      </c>
      <c r="AD1935" t="s">
        <v>72</v>
      </c>
      <c r="AE1935" t="s">
        <v>76</v>
      </c>
      <c r="AF1935" t="s">
        <v>3974</v>
      </c>
      <c r="AG1935" t="s">
        <v>77</v>
      </c>
    </row>
    <row r="1936" spans="1:33" x14ac:dyDescent="0.25">
      <c r="A1936" t="str">
        <f>"1912029653"</f>
        <v>1912029653</v>
      </c>
      <c r="B1936" t="str">
        <f>"01842819"</f>
        <v>01842819</v>
      </c>
      <c r="C1936" t="s">
        <v>10259</v>
      </c>
      <c r="D1936" t="s">
        <v>1760</v>
      </c>
      <c r="E1936" t="s">
        <v>1761</v>
      </c>
      <c r="G1936" t="s">
        <v>4856</v>
      </c>
      <c r="H1936" t="s">
        <v>1762</v>
      </c>
      <c r="J1936" t="s">
        <v>4857</v>
      </c>
      <c r="L1936" t="s">
        <v>71</v>
      </c>
      <c r="M1936" t="s">
        <v>72</v>
      </c>
      <c r="R1936" t="s">
        <v>1763</v>
      </c>
      <c r="W1936" t="s">
        <v>1761</v>
      </c>
      <c r="X1936" t="s">
        <v>1258</v>
      </c>
      <c r="Y1936" t="s">
        <v>228</v>
      </c>
      <c r="Z1936" t="s">
        <v>73</v>
      </c>
      <c r="AA1936" t="str">
        <f>"14226-1039"</f>
        <v>14226-1039</v>
      </c>
      <c r="AB1936" t="s">
        <v>74</v>
      </c>
      <c r="AC1936" t="s">
        <v>75</v>
      </c>
      <c r="AD1936" t="s">
        <v>72</v>
      </c>
      <c r="AE1936" t="s">
        <v>76</v>
      </c>
      <c r="AF1936" t="s">
        <v>3974</v>
      </c>
      <c r="AG1936" t="s">
        <v>77</v>
      </c>
    </row>
    <row r="1937" spans="1:33" x14ac:dyDescent="0.25">
      <c r="A1937" t="str">
        <f>"1376518548"</f>
        <v>1376518548</v>
      </c>
      <c r="B1937" t="str">
        <f>"01195573"</f>
        <v>01195573</v>
      </c>
      <c r="C1937" t="s">
        <v>10260</v>
      </c>
      <c r="D1937" t="s">
        <v>10261</v>
      </c>
      <c r="E1937" t="s">
        <v>10262</v>
      </c>
      <c r="G1937" t="s">
        <v>10260</v>
      </c>
      <c r="H1937" t="s">
        <v>10263</v>
      </c>
      <c r="J1937" t="s">
        <v>10264</v>
      </c>
      <c r="L1937" t="s">
        <v>79</v>
      </c>
      <c r="M1937" t="s">
        <v>72</v>
      </c>
      <c r="R1937" t="s">
        <v>10265</v>
      </c>
      <c r="W1937" t="s">
        <v>10262</v>
      </c>
      <c r="X1937" t="s">
        <v>10266</v>
      </c>
      <c r="Y1937" t="s">
        <v>365</v>
      </c>
      <c r="Z1937" t="s">
        <v>73</v>
      </c>
      <c r="AA1937" t="str">
        <f>"14150-3334"</f>
        <v>14150-3334</v>
      </c>
      <c r="AB1937" t="s">
        <v>113</v>
      </c>
      <c r="AC1937" t="s">
        <v>75</v>
      </c>
      <c r="AD1937" t="s">
        <v>72</v>
      </c>
      <c r="AE1937" t="s">
        <v>76</v>
      </c>
      <c r="AF1937" t="s">
        <v>3974</v>
      </c>
      <c r="AG1937" t="s">
        <v>77</v>
      </c>
    </row>
    <row r="1938" spans="1:33" x14ac:dyDescent="0.25">
      <c r="A1938" t="str">
        <f>"1336113596"</f>
        <v>1336113596</v>
      </c>
      <c r="B1938" t="str">
        <f>"01197626"</f>
        <v>01197626</v>
      </c>
      <c r="C1938" t="s">
        <v>10267</v>
      </c>
      <c r="D1938" t="s">
        <v>10268</v>
      </c>
      <c r="E1938" t="s">
        <v>10269</v>
      </c>
      <c r="G1938" t="s">
        <v>10267</v>
      </c>
      <c r="H1938" t="s">
        <v>4732</v>
      </c>
      <c r="J1938" t="s">
        <v>10270</v>
      </c>
      <c r="L1938" t="s">
        <v>79</v>
      </c>
      <c r="M1938" t="s">
        <v>72</v>
      </c>
      <c r="R1938" t="s">
        <v>10271</v>
      </c>
      <c r="W1938" t="s">
        <v>10269</v>
      </c>
      <c r="X1938" t="s">
        <v>7913</v>
      </c>
      <c r="Y1938" t="s">
        <v>117</v>
      </c>
      <c r="Z1938" t="s">
        <v>73</v>
      </c>
      <c r="AA1938" t="str">
        <f>"14220-2039"</f>
        <v>14220-2039</v>
      </c>
      <c r="AB1938" t="s">
        <v>74</v>
      </c>
      <c r="AC1938" t="s">
        <v>75</v>
      </c>
      <c r="AD1938" t="s">
        <v>72</v>
      </c>
      <c r="AE1938" t="s">
        <v>76</v>
      </c>
      <c r="AF1938" t="s">
        <v>3974</v>
      </c>
      <c r="AG1938" t="s">
        <v>77</v>
      </c>
    </row>
    <row r="1939" spans="1:33" x14ac:dyDescent="0.25">
      <c r="A1939" t="str">
        <f>"1801092937"</f>
        <v>1801092937</v>
      </c>
      <c r="B1939" t="str">
        <f>"03466617"</f>
        <v>03466617</v>
      </c>
      <c r="C1939" t="s">
        <v>10272</v>
      </c>
      <c r="D1939" t="s">
        <v>3742</v>
      </c>
      <c r="E1939" t="s">
        <v>3743</v>
      </c>
      <c r="G1939" t="s">
        <v>4752</v>
      </c>
      <c r="H1939" t="s">
        <v>4753</v>
      </c>
      <c r="J1939" t="s">
        <v>4754</v>
      </c>
      <c r="L1939" t="s">
        <v>79</v>
      </c>
      <c r="M1939" t="s">
        <v>72</v>
      </c>
      <c r="R1939" t="s">
        <v>3744</v>
      </c>
      <c r="W1939" t="s">
        <v>3743</v>
      </c>
      <c r="X1939" t="s">
        <v>1542</v>
      </c>
      <c r="Y1939" t="s">
        <v>221</v>
      </c>
      <c r="Z1939" t="s">
        <v>73</v>
      </c>
      <c r="AA1939" t="str">
        <f>"14221-8216"</f>
        <v>14221-8216</v>
      </c>
      <c r="AB1939" t="s">
        <v>74</v>
      </c>
      <c r="AC1939" t="s">
        <v>75</v>
      </c>
      <c r="AD1939" t="s">
        <v>72</v>
      </c>
      <c r="AE1939" t="s">
        <v>76</v>
      </c>
      <c r="AG1939" t="s">
        <v>77</v>
      </c>
    </row>
    <row r="1940" spans="1:33" x14ac:dyDescent="0.25">
      <c r="A1940" t="str">
        <f>"1497089460"</f>
        <v>1497089460</v>
      </c>
      <c r="B1940" t="str">
        <f>"03635765"</f>
        <v>03635765</v>
      </c>
      <c r="C1940" t="s">
        <v>10273</v>
      </c>
      <c r="D1940" t="s">
        <v>1779</v>
      </c>
      <c r="E1940" t="s">
        <v>1780</v>
      </c>
      <c r="G1940" t="s">
        <v>5402</v>
      </c>
      <c r="H1940" t="s">
        <v>877</v>
      </c>
      <c r="J1940" t="s">
        <v>5403</v>
      </c>
      <c r="L1940" t="s">
        <v>80</v>
      </c>
      <c r="M1940" t="s">
        <v>72</v>
      </c>
      <c r="R1940" t="s">
        <v>1781</v>
      </c>
      <c r="W1940" t="s">
        <v>1780</v>
      </c>
      <c r="X1940" t="s">
        <v>1782</v>
      </c>
      <c r="Y1940" t="s">
        <v>206</v>
      </c>
      <c r="Z1940" t="s">
        <v>73</v>
      </c>
      <c r="AA1940" t="str">
        <f>"14048-2515"</f>
        <v>14048-2515</v>
      </c>
      <c r="AB1940" t="s">
        <v>74</v>
      </c>
      <c r="AC1940" t="s">
        <v>75</v>
      </c>
      <c r="AD1940" t="s">
        <v>72</v>
      </c>
      <c r="AE1940" t="s">
        <v>76</v>
      </c>
      <c r="AF1940" t="s">
        <v>4049</v>
      </c>
      <c r="AG1940" t="s">
        <v>77</v>
      </c>
    </row>
    <row r="1941" spans="1:33" x14ac:dyDescent="0.25">
      <c r="A1941" t="str">
        <f>"1073572475"</f>
        <v>1073572475</v>
      </c>
      <c r="B1941" t="str">
        <f>"01070671"</f>
        <v>01070671</v>
      </c>
      <c r="C1941" t="s">
        <v>10274</v>
      </c>
      <c r="D1941" t="s">
        <v>10275</v>
      </c>
      <c r="E1941" t="s">
        <v>10276</v>
      </c>
      <c r="G1941" t="s">
        <v>10274</v>
      </c>
      <c r="H1941" t="s">
        <v>2542</v>
      </c>
      <c r="J1941" t="s">
        <v>10277</v>
      </c>
      <c r="L1941" t="s">
        <v>80</v>
      </c>
      <c r="M1941" t="s">
        <v>72</v>
      </c>
      <c r="R1941" t="s">
        <v>10278</v>
      </c>
      <c r="W1941" t="s">
        <v>10276</v>
      </c>
      <c r="X1941" t="s">
        <v>301</v>
      </c>
      <c r="Y1941" t="s">
        <v>117</v>
      </c>
      <c r="Z1941" t="s">
        <v>73</v>
      </c>
      <c r="AA1941" t="str">
        <f>"14214-2648"</f>
        <v>14214-2648</v>
      </c>
      <c r="AB1941" t="s">
        <v>74</v>
      </c>
      <c r="AC1941" t="s">
        <v>75</v>
      </c>
      <c r="AD1941" t="s">
        <v>72</v>
      </c>
      <c r="AE1941" t="s">
        <v>76</v>
      </c>
      <c r="AF1941" t="s">
        <v>3961</v>
      </c>
      <c r="AG1941" t="s">
        <v>77</v>
      </c>
    </row>
    <row r="1942" spans="1:33" x14ac:dyDescent="0.25">
      <c r="A1942" t="str">
        <f>"1528099298"</f>
        <v>1528099298</v>
      </c>
      <c r="B1942" t="str">
        <f>"01966141"</f>
        <v>01966141</v>
      </c>
      <c r="C1942" t="s">
        <v>10279</v>
      </c>
      <c r="D1942" t="s">
        <v>10280</v>
      </c>
      <c r="E1942" t="s">
        <v>10281</v>
      </c>
      <c r="G1942" t="s">
        <v>10279</v>
      </c>
      <c r="H1942" t="s">
        <v>5786</v>
      </c>
      <c r="L1942" t="s">
        <v>80</v>
      </c>
      <c r="M1942" t="s">
        <v>72</v>
      </c>
      <c r="R1942" t="s">
        <v>10282</v>
      </c>
      <c r="W1942" t="s">
        <v>10283</v>
      </c>
      <c r="X1942" t="s">
        <v>5409</v>
      </c>
      <c r="Y1942" t="s">
        <v>117</v>
      </c>
      <c r="Z1942" t="s">
        <v>73</v>
      </c>
      <c r="AA1942" t="str">
        <f>"14204-2275"</f>
        <v>14204-2275</v>
      </c>
      <c r="AB1942" t="s">
        <v>74</v>
      </c>
      <c r="AC1942" t="s">
        <v>75</v>
      </c>
      <c r="AD1942" t="s">
        <v>72</v>
      </c>
      <c r="AE1942" t="s">
        <v>76</v>
      </c>
      <c r="AF1942" t="s">
        <v>3961</v>
      </c>
      <c r="AG1942" t="s">
        <v>77</v>
      </c>
    </row>
    <row r="1943" spans="1:33" x14ac:dyDescent="0.25">
      <c r="A1943" t="str">
        <f>"1346337011"</f>
        <v>1346337011</v>
      </c>
      <c r="B1943" t="str">
        <f>"00474924"</f>
        <v>00474924</v>
      </c>
      <c r="C1943" t="s">
        <v>10284</v>
      </c>
      <c r="D1943" t="s">
        <v>1492</v>
      </c>
      <c r="E1943" t="s">
        <v>1493</v>
      </c>
      <c r="F1943">
        <v>160757756</v>
      </c>
      <c r="G1943" t="s">
        <v>10285</v>
      </c>
      <c r="H1943" t="s">
        <v>10286</v>
      </c>
      <c r="J1943" t="s">
        <v>10287</v>
      </c>
      <c r="L1943" t="s">
        <v>106</v>
      </c>
      <c r="M1943" t="s">
        <v>81</v>
      </c>
      <c r="R1943" t="s">
        <v>1491</v>
      </c>
      <c r="W1943" t="s">
        <v>1493</v>
      </c>
      <c r="X1943" t="s">
        <v>1494</v>
      </c>
      <c r="Y1943" t="s">
        <v>117</v>
      </c>
      <c r="Z1943" t="s">
        <v>73</v>
      </c>
      <c r="AA1943" t="str">
        <f>"14225-2523"</f>
        <v>14225-2523</v>
      </c>
      <c r="AB1943" t="s">
        <v>83</v>
      </c>
      <c r="AC1943" t="s">
        <v>75</v>
      </c>
      <c r="AD1943" t="s">
        <v>72</v>
      </c>
      <c r="AE1943" t="s">
        <v>76</v>
      </c>
      <c r="AF1943" t="s">
        <v>4059</v>
      </c>
      <c r="AG1943" t="s">
        <v>77</v>
      </c>
    </row>
    <row r="1944" spans="1:33" x14ac:dyDescent="0.25">
      <c r="A1944" t="str">
        <f>"1669546073"</f>
        <v>1669546073</v>
      </c>
      <c r="B1944" t="str">
        <f>"03006686"</f>
        <v>03006686</v>
      </c>
      <c r="C1944" t="s">
        <v>10284</v>
      </c>
      <c r="D1944" t="s">
        <v>10288</v>
      </c>
      <c r="E1944" t="s">
        <v>10289</v>
      </c>
      <c r="G1944" t="s">
        <v>10285</v>
      </c>
      <c r="H1944" t="s">
        <v>10286</v>
      </c>
      <c r="J1944" t="s">
        <v>10287</v>
      </c>
      <c r="L1944" t="s">
        <v>92</v>
      </c>
      <c r="M1944" t="s">
        <v>72</v>
      </c>
      <c r="R1944" t="s">
        <v>862</v>
      </c>
      <c r="W1944" t="s">
        <v>10289</v>
      </c>
      <c r="X1944" t="s">
        <v>249</v>
      </c>
      <c r="Y1944" t="s">
        <v>117</v>
      </c>
      <c r="Z1944" t="s">
        <v>73</v>
      </c>
      <c r="AA1944" t="str">
        <f>"14225-1901"</f>
        <v>14225-1901</v>
      </c>
      <c r="AB1944" t="s">
        <v>109</v>
      </c>
      <c r="AC1944" t="s">
        <v>75</v>
      </c>
      <c r="AD1944" t="s">
        <v>72</v>
      </c>
      <c r="AE1944" t="s">
        <v>76</v>
      </c>
      <c r="AF1944" t="s">
        <v>4059</v>
      </c>
      <c r="AG1944" t="s">
        <v>77</v>
      </c>
    </row>
    <row r="1945" spans="1:33" x14ac:dyDescent="0.25">
      <c r="A1945" t="str">
        <f>"1720157605"</f>
        <v>1720157605</v>
      </c>
      <c r="B1945" t="str">
        <f>"02001449"</f>
        <v>02001449</v>
      </c>
      <c r="C1945" t="s">
        <v>10284</v>
      </c>
      <c r="D1945" t="s">
        <v>10290</v>
      </c>
      <c r="E1945" t="s">
        <v>10291</v>
      </c>
      <c r="F1945">
        <v>160757756</v>
      </c>
      <c r="G1945" t="s">
        <v>10285</v>
      </c>
      <c r="H1945" t="s">
        <v>10286</v>
      </c>
      <c r="J1945" t="s">
        <v>10287</v>
      </c>
      <c r="L1945" t="s">
        <v>35</v>
      </c>
      <c r="M1945" t="s">
        <v>72</v>
      </c>
      <c r="R1945" t="s">
        <v>1491</v>
      </c>
      <c r="W1945" t="s">
        <v>10291</v>
      </c>
      <c r="X1945" t="s">
        <v>10292</v>
      </c>
      <c r="Y1945" t="s">
        <v>117</v>
      </c>
      <c r="Z1945" t="s">
        <v>73</v>
      </c>
      <c r="AA1945" t="str">
        <f>"14214-2152"</f>
        <v>14214-2152</v>
      </c>
      <c r="AB1945" t="s">
        <v>88</v>
      </c>
      <c r="AC1945" t="s">
        <v>75</v>
      </c>
      <c r="AD1945" t="s">
        <v>72</v>
      </c>
      <c r="AE1945" t="s">
        <v>76</v>
      </c>
      <c r="AF1945" t="s">
        <v>4059</v>
      </c>
      <c r="AG1945" t="s">
        <v>77</v>
      </c>
    </row>
    <row r="1946" spans="1:33" x14ac:dyDescent="0.25">
      <c r="A1946" t="str">
        <f>"1528132792"</f>
        <v>1528132792</v>
      </c>
      <c r="B1946" t="str">
        <f>"01046377"</f>
        <v>01046377</v>
      </c>
      <c r="C1946" t="s">
        <v>10284</v>
      </c>
      <c r="D1946" t="s">
        <v>10288</v>
      </c>
      <c r="E1946" t="s">
        <v>10289</v>
      </c>
      <c r="G1946" t="s">
        <v>10285</v>
      </c>
      <c r="H1946" t="s">
        <v>10286</v>
      </c>
      <c r="J1946" t="s">
        <v>10287</v>
      </c>
      <c r="L1946" t="s">
        <v>92</v>
      </c>
      <c r="M1946" t="s">
        <v>72</v>
      </c>
      <c r="R1946" t="s">
        <v>1491</v>
      </c>
      <c r="W1946" t="s">
        <v>10289</v>
      </c>
      <c r="X1946" t="s">
        <v>249</v>
      </c>
      <c r="Y1946" t="s">
        <v>117</v>
      </c>
      <c r="Z1946" t="s">
        <v>73</v>
      </c>
      <c r="AA1946" t="str">
        <f>"14225-1901"</f>
        <v>14225-1901</v>
      </c>
      <c r="AB1946" t="s">
        <v>109</v>
      </c>
      <c r="AC1946" t="s">
        <v>75</v>
      </c>
      <c r="AD1946" t="s">
        <v>72</v>
      </c>
      <c r="AE1946" t="s">
        <v>76</v>
      </c>
      <c r="AF1946" t="s">
        <v>4059</v>
      </c>
      <c r="AG1946" t="s">
        <v>77</v>
      </c>
    </row>
    <row r="1947" spans="1:33" x14ac:dyDescent="0.25">
      <c r="A1947" t="str">
        <f>"1376612218"</f>
        <v>1376612218</v>
      </c>
      <c r="B1947" t="str">
        <f>"01379437"</f>
        <v>01379437</v>
      </c>
      <c r="C1947" t="s">
        <v>10284</v>
      </c>
      <c r="D1947" t="s">
        <v>10293</v>
      </c>
      <c r="E1947" t="s">
        <v>10294</v>
      </c>
      <c r="G1947" t="s">
        <v>10285</v>
      </c>
      <c r="H1947" t="s">
        <v>10286</v>
      </c>
      <c r="J1947" t="s">
        <v>10287</v>
      </c>
      <c r="L1947" t="s">
        <v>92</v>
      </c>
      <c r="M1947" t="s">
        <v>72</v>
      </c>
      <c r="R1947" t="s">
        <v>10295</v>
      </c>
      <c r="W1947" t="s">
        <v>10294</v>
      </c>
      <c r="X1947" t="s">
        <v>10296</v>
      </c>
      <c r="Y1947" t="s">
        <v>221</v>
      </c>
      <c r="Z1947" t="s">
        <v>73</v>
      </c>
      <c r="AA1947" t="str">
        <f>"14221-5817"</f>
        <v>14221-5817</v>
      </c>
      <c r="AB1947" t="s">
        <v>98</v>
      </c>
      <c r="AC1947" t="s">
        <v>75</v>
      </c>
      <c r="AD1947" t="s">
        <v>72</v>
      </c>
      <c r="AE1947" t="s">
        <v>76</v>
      </c>
      <c r="AF1947" t="s">
        <v>4059</v>
      </c>
      <c r="AG1947" t="s">
        <v>77</v>
      </c>
    </row>
    <row r="1948" spans="1:33" x14ac:dyDescent="0.25">
      <c r="A1948" t="str">
        <f>"1932385069"</f>
        <v>1932385069</v>
      </c>
      <c r="B1948" t="str">
        <f>"03206719"</f>
        <v>03206719</v>
      </c>
      <c r="C1948" t="s">
        <v>10297</v>
      </c>
      <c r="D1948" t="s">
        <v>1394</v>
      </c>
      <c r="E1948" t="s">
        <v>1395</v>
      </c>
      <c r="L1948" t="s">
        <v>71</v>
      </c>
      <c r="M1948" t="s">
        <v>72</v>
      </c>
      <c r="R1948" t="s">
        <v>1396</v>
      </c>
      <c r="W1948" t="s">
        <v>1397</v>
      </c>
      <c r="X1948" t="s">
        <v>1398</v>
      </c>
      <c r="Y1948" t="s">
        <v>247</v>
      </c>
      <c r="Z1948" t="s">
        <v>73</v>
      </c>
      <c r="AA1948" t="str">
        <f>"14227-1528"</f>
        <v>14227-1528</v>
      </c>
      <c r="AB1948" t="s">
        <v>74</v>
      </c>
      <c r="AC1948" t="s">
        <v>75</v>
      </c>
      <c r="AD1948" t="s">
        <v>72</v>
      </c>
      <c r="AE1948" t="s">
        <v>76</v>
      </c>
      <c r="AF1948" t="s">
        <v>4043</v>
      </c>
      <c r="AG1948" t="s">
        <v>77</v>
      </c>
    </row>
    <row r="1949" spans="1:33" x14ac:dyDescent="0.25">
      <c r="A1949" t="str">
        <f>"1679560510"</f>
        <v>1679560510</v>
      </c>
      <c r="B1949" t="str">
        <f>"01969479"</f>
        <v>01969479</v>
      </c>
      <c r="C1949" t="s">
        <v>10298</v>
      </c>
      <c r="D1949" t="s">
        <v>10299</v>
      </c>
      <c r="E1949" t="s">
        <v>10300</v>
      </c>
      <c r="L1949" t="s">
        <v>79</v>
      </c>
      <c r="M1949" t="s">
        <v>72</v>
      </c>
      <c r="R1949" t="s">
        <v>10300</v>
      </c>
      <c r="W1949" t="s">
        <v>10300</v>
      </c>
      <c r="X1949" t="s">
        <v>7009</v>
      </c>
      <c r="Y1949" t="s">
        <v>479</v>
      </c>
      <c r="Z1949" t="s">
        <v>73</v>
      </c>
      <c r="AA1949" t="str">
        <f>"14141-1244"</f>
        <v>14141-1244</v>
      </c>
      <c r="AB1949" t="s">
        <v>74</v>
      </c>
      <c r="AC1949" t="s">
        <v>75</v>
      </c>
      <c r="AD1949" t="s">
        <v>72</v>
      </c>
      <c r="AE1949" t="s">
        <v>76</v>
      </c>
      <c r="AF1949" t="s">
        <v>3974</v>
      </c>
      <c r="AG1949" t="s">
        <v>77</v>
      </c>
    </row>
    <row r="1950" spans="1:33" x14ac:dyDescent="0.25">
      <c r="A1950" t="str">
        <f>"1437134947"</f>
        <v>1437134947</v>
      </c>
      <c r="B1950" t="str">
        <f>"02127255"</f>
        <v>02127255</v>
      </c>
      <c r="C1950" t="s">
        <v>10301</v>
      </c>
      <c r="D1950" t="s">
        <v>10302</v>
      </c>
      <c r="E1950" t="s">
        <v>10303</v>
      </c>
      <c r="L1950" t="s">
        <v>79</v>
      </c>
      <c r="M1950" t="s">
        <v>72</v>
      </c>
      <c r="R1950" t="s">
        <v>10304</v>
      </c>
      <c r="W1950" t="s">
        <v>10303</v>
      </c>
      <c r="X1950" t="s">
        <v>2969</v>
      </c>
      <c r="Y1950" t="s">
        <v>326</v>
      </c>
      <c r="Z1950" t="s">
        <v>73</v>
      </c>
      <c r="AA1950" t="str">
        <f>"14127-1835"</f>
        <v>14127-1835</v>
      </c>
      <c r="AB1950" t="s">
        <v>74</v>
      </c>
      <c r="AC1950" t="s">
        <v>75</v>
      </c>
      <c r="AD1950" t="s">
        <v>72</v>
      </c>
      <c r="AE1950" t="s">
        <v>76</v>
      </c>
      <c r="AF1950" t="s">
        <v>3961</v>
      </c>
      <c r="AG1950" t="s">
        <v>77</v>
      </c>
    </row>
    <row r="1951" spans="1:33" x14ac:dyDescent="0.25">
      <c r="A1951" t="str">
        <f>"1013010388"</f>
        <v>1013010388</v>
      </c>
      <c r="B1951" t="str">
        <f>"01718776"</f>
        <v>01718776</v>
      </c>
      <c r="C1951" t="s">
        <v>10305</v>
      </c>
      <c r="D1951" t="s">
        <v>10306</v>
      </c>
      <c r="E1951" t="s">
        <v>10307</v>
      </c>
      <c r="L1951" t="s">
        <v>71</v>
      </c>
      <c r="M1951" t="s">
        <v>72</v>
      </c>
      <c r="R1951" t="s">
        <v>10308</v>
      </c>
      <c r="W1951" t="s">
        <v>10309</v>
      </c>
      <c r="X1951" t="s">
        <v>169</v>
      </c>
      <c r="Y1951" t="s">
        <v>117</v>
      </c>
      <c r="Z1951" t="s">
        <v>73</v>
      </c>
      <c r="AA1951" t="str">
        <f>"14209-1120"</f>
        <v>14209-1120</v>
      </c>
      <c r="AB1951" t="s">
        <v>74</v>
      </c>
      <c r="AC1951" t="s">
        <v>75</v>
      </c>
      <c r="AD1951" t="s">
        <v>72</v>
      </c>
      <c r="AE1951" t="s">
        <v>76</v>
      </c>
      <c r="AF1951" t="s">
        <v>3974</v>
      </c>
      <c r="AG1951" t="s">
        <v>77</v>
      </c>
    </row>
    <row r="1952" spans="1:33" x14ac:dyDescent="0.25">
      <c r="A1952" t="str">
        <f>"1366541427"</f>
        <v>1366541427</v>
      </c>
      <c r="B1952" t="str">
        <f>"02529793"</f>
        <v>02529793</v>
      </c>
      <c r="C1952" t="s">
        <v>10310</v>
      </c>
      <c r="D1952" t="s">
        <v>10311</v>
      </c>
      <c r="E1952" t="s">
        <v>10312</v>
      </c>
      <c r="L1952" t="s">
        <v>79</v>
      </c>
      <c r="M1952" t="s">
        <v>72</v>
      </c>
      <c r="R1952" t="s">
        <v>10313</v>
      </c>
      <c r="W1952" t="s">
        <v>10312</v>
      </c>
      <c r="X1952" t="s">
        <v>1713</v>
      </c>
      <c r="Y1952" t="s">
        <v>326</v>
      </c>
      <c r="Z1952" t="s">
        <v>73</v>
      </c>
      <c r="AA1952" t="str">
        <f>"14127-2604"</f>
        <v>14127-2604</v>
      </c>
      <c r="AB1952" t="s">
        <v>74</v>
      </c>
      <c r="AC1952" t="s">
        <v>75</v>
      </c>
      <c r="AD1952" t="s">
        <v>72</v>
      </c>
      <c r="AE1952" t="s">
        <v>76</v>
      </c>
      <c r="AF1952" t="s">
        <v>3974</v>
      </c>
      <c r="AG1952" t="s">
        <v>77</v>
      </c>
    </row>
    <row r="1953" spans="1:33" x14ac:dyDescent="0.25">
      <c r="A1953" t="str">
        <f>"1437347820"</f>
        <v>1437347820</v>
      </c>
      <c r="B1953" t="str">
        <f>"03025225"</f>
        <v>03025225</v>
      </c>
      <c r="C1953" t="s">
        <v>10314</v>
      </c>
      <c r="D1953" t="s">
        <v>10315</v>
      </c>
      <c r="E1953" t="s">
        <v>10316</v>
      </c>
      <c r="L1953" t="s">
        <v>79</v>
      </c>
      <c r="M1953" t="s">
        <v>72</v>
      </c>
      <c r="R1953" t="s">
        <v>10317</v>
      </c>
      <c r="W1953" t="s">
        <v>10318</v>
      </c>
      <c r="X1953" t="s">
        <v>10319</v>
      </c>
      <c r="Y1953" t="s">
        <v>221</v>
      </c>
      <c r="Z1953" t="s">
        <v>73</v>
      </c>
      <c r="AA1953" t="str">
        <f>"14221-7800"</f>
        <v>14221-7800</v>
      </c>
      <c r="AB1953" t="s">
        <v>74</v>
      </c>
      <c r="AC1953" t="s">
        <v>75</v>
      </c>
      <c r="AD1953" t="s">
        <v>72</v>
      </c>
      <c r="AE1953" t="s">
        <v>76</v>
      </c>
      <c r="AF1953" t="s">
        <v>3974</v>
      </c>
      <c r="AG1953" t="s">
        <v>77</v>
      </c>
    </row>
    <row r="1954" spans="1:33" x14ac:dyDescent="0.25">
      <c r="A1954" t="str">
        <f>"1972927853"</f>
        <v>1972927853</v>
      </c>
      <c r="B1954" t="str">
        <f>"04154927"</f>
        <v>04154927</v>
      </c>
      <c r="C1954" t="s">
        <v>10320</v>
      </c>
      <c r="D1954" t="s">
        <v>10321</v>
      </c>
      <c r="E1954" t="s">
        <v>10322</v>
      </c>
      <c r="L1954" t="s">
        <v>71</v>
      </c>
      <c r="M1954" t="s">
        <v>72</v>
      </c>
      <c r="R1954" t="s">
        <v>10323</v>
      </c>
      <c r="W1954" t="s">
        <v>10322</v>
      </c>
      <c r="X1954" t="s">
        <v>393</v>
      </c>
      <c r="Y1954" t="s">
        <v>228</v>
      </c>
      <c r="Z1954" t="s">
        <v>73</v>
      </c>
      <c r="AA1954" t="str">
        <f>"14226-1727"</f>
        <v>14226-1727</v>
      </c>
      <c r="AB1954" t="s">
        <v>74</v>
      </c>
      <c r="AC1954" t="s">
        <v>75</v>
      </c>
      <c r="AD1954" t="s">
        <v>72</v>
      </c>
      <c r="AE1954" t="s">
        <v>76</v>
      </c>
      <c r="AF1954" t="s">
        <v>3961</v>
      </c>
      <c r="AG1954" t="s">
        <v>77</v>
      </c>
    </row>
    <row r="1955" spans="1:33" x14ac:dyDescent="0.25">
      <c r="A1955" t="str">
        <f>"1295700094"</f>
        <v>1295700094</v>
      </c>
      <c r="B1955" t="str">
        <f>"01362165"</f>
        <v>01362165</v>
      </c>
      <c r="C1955" t="s">
        <v>10324</v>
      </c>
      <c r="D1955" t="s">
        <v>1877</v>
      </c>
      <c r="E1955" t="s">
        <v>1878</v>
      </c>
      <c r="L1955" t="s">
        <v>79</v>
      </c>
      <c r="M1955" t="s">
        <v>72</v>
      </c>
      <c r="R1955" t="s">
        <v>1879</v>
      </c>
      <c r="W1955" t="s">
        <v>1878</v>
      </c>
      <c r="X1955" t="s">
        <v>1880</v>
      </c>
      <c r="Y1955" t="s">
        <v>87</v>
      </c>
      <c r="Z1955" t="s">
        <v>73</v>
      </c>
      <c r="AA1955" t="str">
        <f>"10011-8305"</f>
        <v>10011-8305</v>
      </c>
      <c r="AB1955" t="s">
        <v>74</v>
      </c>
      <c r="AC1955" t="s">
        <v>75</v>
      </c>
      <c r="AD1955" t="s">
        <v>72</v>
      </c>
      <c r="AE1955" t="s">
        <v>76</v>
      </c>
      <c r="AF1955" t="s">
        <v>4043</v>
      </c>
      <c r="AG1955" t="s">
        <v>77</v>
      </c>
    </row>
    <row r="1956" spans="1:33" x14ac:dyDescent="0.25">
      <c r="A1956" t="str">
        <f>"1376548479"</f>
        <v>1376548479</v>
      </c>
      <c r="B1956" t="str">
        <f>"02563880"</f>
        <v>02563880</v>
      </c>
      <c r="C1956" t="s">
        <v>10325</v>
      </c>
      <c r="D1956" t="s">
        <v>10326</v>
      </c>
      <c r="E1956" t="s">
        <v>10327</v>
      </c>
      <c r="L1956" t="s">
        <v>71</v>
      </c>
      <c r="M1956" t="s">
        <v>72</v>
      </c>
      <c r="R1956" t="s">
        <v>10327</v>
      </c>
      <c r="W1956" t="s">
        <v>10327</v>
      </c>
      <c r="X1956" t="s">
        <v>204</v>
      </c>
      <c r="Y1956" t="s">
        <v>117</v>
      </c>
      <c r="Z1956" t="s">
        <v>73</v>
      </c>
      <c r="AA1956" t="str">
        <f>"14263-0001"</f>
        <v>14263-0001</v>
      </c>
      <c r="AB1956" t="s">
        <v>74</v>
      </c>
      <c r="AC1956" t="s">
        <v>75</v>
      </c>
      <c r="AD1956" t="s">
        <v>72</v>
      </c>
      <c r="AE1956" t="s">
        <v>76</v>
      </c>
      <c r="AG1956" t="s">
        <v>77</v>
      </c>
    </row>
    <row r="1957" spans="1:33" x14ac:dyDescent="0.25">
      <c r="A1957" t="str">
        <f>"1992902589"</f>
        <v>1992902589</v>
      </c>
      <c r="B1957" t="str">
        <f>"03384109"</f>
        <v>03384109</v>
      </c>
      <c r="C1957" t="s">
        <v>10328</v>
      </c>
      <c r="D1957" t="s">
        <v>10329</v>
      </c>
      <c r="E1957" t="s">
        <v>10330</v>
      </c>
      <c r="L1957" t="s">
        <v>79</v>
      </c>
      <c r="M1957" t="s">
        <v>72</v>
      </c>
      <c r="R1957" t="s">
        <v>10331</v>
      </c>
      <c r="W1957" t="s">
        <v>10330</v>
      </c>
      <c r="X1957" t="s">
        <v>2303</v>
      </c>
      <c r="Y1957" t="s">
        <v>117</v>
      </c>
      <c r="Z1957" t="s">
        <v>73</v>
      </c>
      <c r="AA1957" t="str">
        <f>"14263-0001"</f>
        <v>14263-0001</v>
      </c>
      <c r="AB1957" t="s">
        <v>74</v>
      </c>
      <c r="AC1957" t="s">
        <v>75</v>
      </c>
      <c r="AD1957" t="s">
        <v>72</v>
      </c>
      <c r="AE1957" t="s">
        <v>76</v>
      </c>
      <c r="AF1957" t="s">
        <v>4043</v>
      </c>
      <c r="AG1957" t="s">
        <v>77</v>
      </c>
    </row>
    <row r="1958" spans="1:33" x14ac:dyDescent="0.25">
      <c r="A1958" t="str">
        <f>"1952348575"</f>
        <v>1952348575</v>
      </c>
      <c r="B1958" t="str">
        <f>"03225023"</f>
        <v>03225023</v>
      </c>
      <c r="C1958" t="s">
        <v>10332</v>
      </c>
      <c r="D1958" t="s">
        <v>10333</v>
      </c>
      <c r="E1958" t="s">
        <v>10334</v>
      </c>
      <c r="L1958" t="s">
        <v>79</v>
      </c>
      <c r="M1958" t="s">
        <v>72</v>
      </c>
      <c r="R1958" t="s">
        <v>10335</v>
      </c>
      <c r="W1958" t="s">
        <v>10335</v>
      </c>
      <c r="X1958" t="s">
        <v>204</v>
      </c>
      <c r="Y1958" t="s">
        <v>117</v>
      </c>
      <c r="Z1958" t="s">
        <v>73</v>
      </c>
      <c r="AA1958" t="str">
        <f>"14263-0001"</f>
        <v>14263-0001</v>
      </c>
      <c r="AB1958" t="s">
        <v>74</v>
      </c>
      <c r="AC1958" t="s">
        <v>75</v>
      </c>
      <c r="AD1958" t="s">
        <v>72</v>
      </c>
      <c r="AE1958" t="s">
        <v>76</v>
      </c>
      <c r="AF1958" t="s">
        <v>4043</v>
      </c>
      <c r="AG1958" t="s">
        <v>77</v>
      </c>
    </row>
    <row r="1959" spans="1:33" x14ac:dyDescent="0.25">
      <c r="A1959" t="str">
        <f>"1275531493"</f>
        <v>1275531493</v>
      </c>
      <c r="B1959" t="str">
        <f>"03923695"</f>
        <v>03923695</v>
      </c>
      <c r="C1959" t="s">
        <v>10336</v>
      </c>
      <c r="D1959" t="s">
        <v>10337</v>
      </c>
      <c r="E1959" t="s">
        <v>10338</v>
      </c>
      <c r="L1959" t="s">
        <v>79</v>
      </c>
      <c r="M1959" t="s">
        <v>72</v>
      </c>
      <c r="R1959" t="s">
        <v>10339</v>
      </c>
      <c r="W1959" t="s">
        <v>10338</v>
      </c>
      <c r="X1959" t="s">
        <v>250</v>
      </c>
      <c r="Y1959" t="s">
        <v>217</v>
      </c>
      <c r="Z1959" t="s">
        <v>73</v>
      </c>
      <c r="AA1959" t="str">
        <f>"14760-1513"</f>
        <v>14760-1513</v>
      </c>
      <c r="AB1959" t="s">
        <v>74</v>
      </c>
      <c r="AC1959" t="s">
        <v>75</v>
      </c>
      <c r="AD1959" t="s">
        <v>72</v>
      </c>
      <c r="AE1959" t="s">
        <v>76</v>
      </c>
      <c r="AF1959" t="s">
        <v>4043</v>
      </c>
      <c r="AG1959" t="s">
        <v>77</v>
      </c>
    </row>
    <row r="1960" spans="1:33" x14ac:dyDescent="0.25">
      <c r="A1960" t="str">
        <f>"1174721302"</f>
        <v>1174721302</v>
      </c>
      <c r="B1960" t="str">
        <f>"03335100"</f>
        <v>03335100</v>
      </c>
      <c r="C1960" t="s">
        <v>10340</v>
      </c>
      <c r="D1960" t="s">
        <v>10341</v>
      </c>
      <c r="E1960" t="s">
        <v>10342</v>
      </c>
      <c r="L1960" t="s">
        <v>79</v>
      </c>
      <c r="M1960" t="s">
        <v>72</v>
      </c>
      <c r="R1960" t="s">
        <v>10343</v>
      </c>
      <c r="W1960" t="s">
        <v>10342</v>
      </c>
      <c r="X1960" t="s">
        <v>204</v>
      </c>
      <c r="Y1960" t="s">
        <v>117</v>
      </c>
      <c r="Z1960" t="s">
        <v>73</v>
      </c>
      <c r="AA1960" t="str">
        <f>"14263-0001"</f>
        <v>14263-0001</v>
      </c>
      <c r="AB1960" t="s">
        <v>74</v>
      </c>
      <c r="AC1960" t="s">
        <v>75</v>
      </c>
      <c r="AD1960" t="s">
        <v>72</v>
      </c>
      <c r="AE1960" t="s">
        <v>76</v>
      </c>
      <c r="AF1960" t="s">
        <v>4043</v>
      </c>
      <c r="AG1960" t="s">
        <v>77</v>
      </c>
    </row>
    <row r="1961" spans="1:33" x14ac:dyDescent="0.25">
      <c r="A1961" t="str">
        <f>"1104098607"</f>
        <v>1104098607</v>
      </c>
      <c r="B1961" t="str">
        <f>"03616828"</f>
        <v>03616828</v>
      </c>
      <c r="C1961" t="s">
        <v>10344</v>
      </c>
      <c r="D1961" t="s">
        <v>355</v>
      </c>
      <c r="E1961" t="s">
        <v>356</v>
      </c>
      <c r="L1961" t="s">
        <v>71</v>
      </c>
      <c r="M1961" t="s">
        <v>72</v>
      </c>
      <c r="R1961" t="s">
        <v>357</v>
      </c>
      <c r="W1961" t="s">
        <v>356</v>
      </c>
      <c r="X1961" t="s">
        <v>358</v>
      </c>
      <c r="Y1961" t="s">
        <v>111</v>
      </c>
      <c r="Z1961" t="s">
        <v>73</v>
      </c>
      <c r="AA1961" t="str">
        <f>"14642-0001"</f>
        <v>14642-0001</v>
      </c>
      <c r="AB1961" t="s">
        <v>74</v>
      </c>
      <c r="AC1961" t="s">
        <v>75</v>
      </c>
      <c r="AD1961" t="s">
        <v>72</v>
      </c>
      <c r="AE1961" t="s">
        <v>76</v>
      </c>
      <c r="AF1961" t="s">
        <v>4043</v>
      </c>
      <c r="AG1961" t="s">
        <v>77</v>
      </c>
    </row>
    <row r="1962" spans="1:33" x14ac:dyDescent="0.25">
      <c r="A1962" t="str">
        <f>"1710982418"</f>
        <v>1710982418</v>
      </c>
      <c r="B1962" t="str">
        <f>"01566178"</f>
        <v>01566178</v>
      </c>
      <c r="C1962" t="s">
        <v>10345</v>
      </c>
      <c r="D1962" t="s">
        <v>1665</v>
      </c>
      <c r="E1962" t="s">
        <v>1666</v>
      </c>
      <c r="L1962" t="s">
        <v>71</v>
      </c>
      <c r="M1962" t="s">
        <v>72</v>
      </c>
      <c r="R1962" t="s">
        <v>1667</v>
      </c>
      <c r="W1962" t="s">
        <v>1666</v>
      </c>
      <c r="X1962" t="s">
        <v>1668</v>
      </c>
      <c r="Y1962" t="s">
        <v>117</v>
      </c>
      <c r="Z1962" t="s">
        <v>73</v>
      </c>
      <c r="AA1962" t="str">
        <f>"14222-2099"</f>
        <v>14222-2099</v>
      </c>
      <c r="AB1962" t="s">
        <v>74</v>
      </c>
      <c r="AC1962" t="s">
        <v>75</v>
      </c>
      <c r="AD1962" t="s">
        <v>72</v>
      </c>
      <c r="AE1962" t="s">
        <v>76</v>
      </c>
      <c r="AF1962" t="s">
        <v>4043</v>
      </c>
      <c r="AG1962" t="s">
        <v>77</v>
      </c>
    </row>
    <row r="1963" spans="1:33" x14ac:dyDescent="0.25">
      <c r="A1963" t="str">
        <f>"1790960904"</f>
        <v>1790960904</v>
      </c>
      <c r="B1963" t="str">
        <f>"03303697"</f>
        <v>03303697</v>
      </c>
      <c r="C1963" t="s">
        <v>10346</v>
      </c>
      <c r="D1963" t="s">
        <v>3673</v>
      </c>
      <c r="E1963" t="s">
        <v>3674</v>
      </c>
      <c r="L1963" t="s">
        <v>71</v>
      </c>
      <c r="M1963" t="s">
        <v>72</v>
      </c>
      <c r="R1963" t="s">
        <v>3675</v>
      </c>
      <c r="W1963" t="s">
        <v>3674</v>
      </c>
      <c r="X1963" t="s">
        <v>204</v>
      </c>
      <c r="Y1963" t="s">
        <v>117</v>
      </c>
      <c r="Z1963" t="s">
        <v>73</v>
      </c>
      <c r="AA1963" t="str">
        <f>"14263-0001"</f>
        <v>14263-0001</v>
      </c>
      <c r="AB1963" t="s">
        <v>74</v>
      </c>
      <c r="AC1963" t="s">
        <v>75</v>
      </c>
      <c r="AD1963" t="s">
        <v>72</v>
      </c>
      <c r="AE1963" t="s">
        <v>76</v>
      </c>
      <c r="AF1963" t="s">
        <v>4043</v>
      </c>
      <c r="AG1963" t="s">
        <v>77</v>
      </c>
    </row>
    <row r="1964" spans="1:33" x14ac:dyDescent="0.25">
      <c r="A1964" t="str">
        <f>"1235134800"</f>
        <v>1235134800</v>
      </c>
      <c r="B1964" t="str">
        <f>"02021492"</f>
        <v>02021492</v>
      </c>
      <c r="C1964" t="s">
        <v>10347</v>
      </c>
      <c r="D1964" t="s">
        <v>10348</v>
      </c>
      <c r="E1964" t="s">
        <v>10349</v>
      </c>
      <c r="L1964" t="s">
        <v>79</v>
      </c>
      <c r="M1964" t="s">
        <v>72</v>
      </c>
      <c r="R1964" t="s">
        <v>10350</v>
      </c>
      <c r="W1964" t="s">
        <v>10349</v>
      </c>
      <c r="X1964" t="s">
        <v>10351</v>
      </c>
      <c r="Y1964" t="s">
        <v>117</v>
      </c>
      <c r="Z1964" t="s">
        <v>73</v>
      </c>
      <c r="AA1964" t="str">
        <f>"14263-0001"</f>
        <v>14263-0001</v>
      </c>
      <c r="AB1964" t="s">
        <v>74</v>
      </c>
      <c r="AC1964" t="s">
        <v>75</v>
      </c>
      <c r="AD1964" t="s">
        <v>72</v>
      </c>
      <c r="AE1964" t="s">
        <v>76</v>
      </c>
      <c r="AF1964" t="s">
        <v>4043</v>
      </c>
      <c r="AG1964" t="s">
        <v>77</v>
      </c>
    </row>
    <row r="1965" spans="1:33" x14ac:dyDescent="0.25">
      <c r="A1965" t="str">
        <f>"1881600609"</f>
        <v>1881600609</v>
      </c>
      <c r="B1965" t="str">
        <f>"02662944"</f>
        <v>02662944</v>
      </c>
      <c r="C1965" t="s">
        <v>10352</v>
      </c>
      <c r="D1965" t="s">
        <v>3446</v>
      </c>
      <c r="E1965" t="s">
        <v>3447</v>
      </c>
      <c r="G1965" t="s">
        <v>10352</v>
      </c>
      <c r="H1965" t="s">
        <v>5165</v>
      </c>
      <c r="J1965" t="s">
        <v>10353</v>
      </c>
      <c r="L1965" t="s">
        <v>79</v>
      </c>
      <c r="M1965" t="s">
        <v>72</v>
      </c>
      <c r="R1965" t="s">
        <v>3448</v>
      </c>
      <c r="W1965" t="s">
        <v>3447</v>
      </c>
      <c r="X1965" t="s">
        <v>1864</v>
      </c>
      <c r="Y1965" t="s">
        <v>326</v>
      </c>
      <c r="Z1965" t="s">
        <v>73</v>
      </c>
      <c r="AA1965" t="str">
        <f>"14127-1842"</f>
        <v>14127-1842</v>
      </c>
      <c r="AB1965" t="s">
        <v>74</v>
      </c>
      <c r="AC1965" t="s">
        <v>75</v>
      </c>
      <c r="AD1965" t="s">
        <v>72</v>
      </c>
      <c r="AE1965" t="s">
        <v>76</v>
      </c>
      <c r="AG1965" t="s">
        <v>77</v>
      </c>
    </row>
    <row r="1966" spans="1:33" x14ac:dyDescent="0.25">
      <c r="A1966" t="str">
        <f>"1447203633"</f>
        <v>1447203633</v>
      </c>
      <c r="B1966" t="str">
        <f>"02172127"</f>
        <v>02172127</v>
      </c>
      <c r="C1966" t="s">
        <v>10354</v>
      </c>
      <c r="D1966" t="s">
        <v>10355</v>
      </c>
      <c r="E1966" t="s">
        <v>10356</v>
      </c>
      <c r="G1966" t="s">
        <v>3969</v>
      </c>
      <c r="H1966" t="s">
        <v>3970</v>
      </c>
      <c r="J1966" t="s">
        <v>3971</v>
      </c>
      <c r="L1966" t="s">
        <v>79</v>
      </c>
      <c r="M1966" t="s">
        <v>72</v>
      </c>
      <c r="R1966" t="s">
        <v>10357</v>
      </c>
      <c r="W1966" t="s">
        <v>10356</v>
      </c>
      <c r="X1966" t="s">
        <v>1146</v>
      </c>
      <c r="Y1966" t="s">
        <v>436</v>
      </c>
      <c r="Z1966" t="s">
        <v>73</v>
      </c>
      <c r="AA1966" t="str">
        <f>"14217-1390"</f>
        <v>14217-1390</v>
      </c>
      <c r="AB1966" t="s">
        <v>74</v>
      </c>
      <c r="AC1966" t="s">
        <v>75</v>
      </c>
      <c r="AD1966" t="s">
        <v>72</v>
      </c>
      <c r="AE1966" t="s">
        <v>76</v>
      </c>
      <c r="AF1966" t="s">
        <v>3974</v>
      </c>
      <c r="AG1966" t="s">
        <v>77</v>
      </c>
    </row>
    <row r="1967" spans="1:33" x14ac:dyDescent="0.25">
      <c r="A1967" t="str">
        <f>"1467431296"</f>
        <v>1467431296</v>
      </c>
      <c r="B1967" t="str">
        <f>"00606506"</f>
        <v>00606506</v>
      </c>
      <c r="C1967" t="s">
        <v>10358</v>
      </c>
      <c r="D1967" t="s">
        <v>884</v>
      </c>
      <c r="E1967" t="s">
        <v>885</v>
      </c>
      <c r="G1967" t="s">
        <v>10359</v>
      </c>
      <c r="H1967" t="s">
        <v>886</v>
      </c>
      <c r="J1967" t="s">
        <v>10360</v>
      </c>
      <c r="L1967" t="s">
        <v>80</v>
      </c>
      <c r="M1967" t="s">
        <v>72</v>
      </c>
      <c r="R1967" t="s">
        <v>887</v>
      </c>
      <c r="W1967" t="s">
        <v>885</v>
      </c>
      <c r="X1967" t="s">
        <v>888</v>
      </c>
      <c r="Y1967" t="s">
        <v>365</v>
      </c>
      <c r="Z1967" t="s">
        <v>73</v>
      </c>
      <c r="AA1967" t="str">
        <f>"14223-2647"</f>
        <v>14223-2647</v>
      </c>
      <c r="AB1967" t="s">
        <v>74</v>
      </c>
      <c r="AC1967" t="s">
        <v>75</v>
      </c>
      <c r="AD1967" t="s">
        <v>72</v>
      </c>
      <c r="AE1967" t="s">
        <v>76</v>
      </c>
      <c r="AF1967" t="s">
        <v>3974</v>
      </c>
      <c r="AG1967" t="s">
        <v>77</v>
      </c>
    </row>
    <row r="1968" spans="1:33" x14ac:dyDescent="0.25">
      <c r="A1968" t="str">
        <f>"1053369199"</f>
        <v>1053369199</v>
      </c>
      <c r="B1968" t="str">
        <f>"00613570"</f>
        <v>00613570</v>
      </c>
      <c r="C1968" t="s">
        <v>10361</v>
      </c>
      <c r="D1968" t="s">
        <v>3103</v>
      </c>
      <c r="E1968" t="s">
        <v>3104</v>
      </c>
      <c r="G1968" t="s">
        <v>4061</v>
      </c>
      <c r="H1968" t="s">
        <v>3105</v>
      </c>
      <c r="J1968" t="s">
        <v>4062</v>
      </c>
      <c r="L1968" t="s">
        <v>96</v>
      </c>
      <c r="M1968" t="s">
        <v>72</v>
      </c>
      <c r="R1968" t="s">
        <v>3106</v>
      </c>
      <c r="W1968" t="s">
        <v>3104</v>
      </c>
      <c r="X1968" t="s">
        <v>183</v>
      </c>
      <c r="Y1968" t="s">
        <v>221</v>
      </c>
      <c r="Z1968" t="s">
        <v>73</v>
      </c>
      <c r="AA1968" t="str">
        <f>"14221-5734"</f>
        <v>14221-5734</v>
      </c>
      <c r="AB1968" t="s">
        <v>74</v>
      </c>
      <c r="AC1968" t="s">
        <v>75</v>
      </c>
      <c r="AD1968" t="s">
        <v>72</v>
      </c>
      <c r="AE1968" t="s">
        <v>76</v>
      </c>
      <c r="AF1968" t="s">
        <v>3974</v>
      </c>
      <c r="AG1968" t="s">
        <v>77</v>
      </c>
    </row>
    <row r="1969" spans="1:33" x14ac:dyDescent="0.25">
      <c r="A1969" t="str">
        <f>"1902827769"</f>
        <v>1902827769</v>
      </c>
      <c r="B1969" t="str">
        <f>"01789326"</f>
        <v>01789326</v>
      </c>
      <c r="C1969" t="s">
        <v>10362</v>
      </c>
      <c r="D1969" t="s">
        <v>10363</v>
      </c>
      <c r="E1969" t="s">
        <v>10364</v>
      </c>
      <c r="G1969" t="s">
        <v>4017</v>
      </c>
      <c r="H1969" t="s">
        <v>597</v>
      </c>
      <c r="J1969" t="s">
        <v>4018</v>
      </c>
      <c r="L1969" t="s">
        <v>79</v>
      </c>
      <c r="M1969" t="s">
        <v>72</v>
      </c>
      <c r="R1969" t="s">
        <v>3932</v>
      </c>
      <c r="W1969" t="s">
        <v>10364</v>
      </c>
      <c r="Y1969" t="s">
        <v>117</v>
      </c>
      <c r="Z1969" t="s">
        <v>73</v>
      </c>
      <c r="AA1969" t="str">
        <f>"14215-1129"</f>
        <v>14215-1129</v>
      </c>
      <c r="AB1969" t="s">
        <v>74</v>
      </c>
      <c r="AC1969" t="s">
        <v>75</v>
      </c>
      <c r="AD1969" t="s">
        <v>72</v>
      </c>
      <c r="AE1969" t="s">
        <v>76</v>
      </c>
      <c r="AF1969" t="s">
        <v>3974</v>
      </c>
      <c r="AG1969" t="s">
        <v>77</v>
      </c>
    </row>
    <row r="1970" spans="1:33" x14ac:dyDescent="0.25">
      <c r="A1970" t="str">
        <f>"1265433759"</f>
        <v>1265433759</v>
      </c>
      <c r="B1970" t="str">
        <f>"02345031"</f>
        <v>02345031</v>
      </c>
      <c r="C1970" t="s">
        <v>10365</v>
      </c>
      <c r="D1970" t="s">
        <v>10366</v>
      </c>
      <c r="E1970" t="s">
        <v>10367</v>
      </c>
      <c r="L1970" t="s">
        <v>80</v>
      </c>
      <c r="M1970" t="s">
        <v>72</v>
      </c>
      <c r="R1970" t="s">
        <v>10368</v>
      </c>
      <c r="W1970" t="s">
        <v>10369</v>
      </c>
      <c r="X1970" t="s">
        <v>1151</v>
      </c>
      <c r="Y1970" t="s">
        <v>221</v>
      </c>
      <c r="Z1970" t="s">
        <v>73</v>
      </c>
      <c r="AA1970" t="str">
        <f>"14221-8024"</f>
        <v>14221-8024</v>
      </c>
      <c r="AB1970" t="s">
        <v>74</v>
      </c>
      <c r="AC1970" t="s">
        <v>75</v>
      </c>
      <c r="AD1970" t="s">
        <v>72</v>
      </c>
      <c r="AE1970" t="s">
        <v>76</v>
      </c>
      <c r="AF1970" t="s">
        <v>3961</v>
      </c>
      <c r="AG1970" t="s">
        <v>77</v>
      </c>
    </row>
    <row r="1971" spans="1:33" x14ac:dyDescent="0.25">
      <c r="A1971" t="str">
        <f>"1417913096"</f>
        <v>1417913096</v>
      </c>
      <c r="B1971" t="str">
        <f>"02344723"</f>
        <v>02344723</v>
      </c>
      <c r="C1971" t="s">
        <v>10370</v>
      </c>
      <c r="D1971" t="s">
        <v>1602</v>
      </c>
      <c r="E1971" t="s">
        <v>1603</v>
      </c>
      <c r="L1971" t="s">
        <v>79</v>
      </c>
      <c r="M1971" t="s">
        <v>72</v>
      </c>
      <c r="R1971" t="s">
        <v>1604</v>
      </c>
      <c r="W1971" t="s">
        <v>1603</v>
      </c>
      <c r="X1971" t="s">
        <v>173</v>
      </c>
      <c r="Y1971" t="s">
        <v>117</v>
      </c>
      <c r="Z1971" t="s">
        <v>73</v>
      </c>
      <c r="AA1971" t="str">
        <f>"14222-2006"</f>
        <v>14222-2006</v>
      </c>
      <c r="AB1971" t="s">
        <v>74</v>
      </c>
      <c r="AC1971" t="s">
        <v>75</v>
      </c>
      <c r="AD1971" t="s">
        <v>72</v>
      </c>
      <c r="AE1971" t="s">
        <v>76</v>
      </c>
      <c r="AF1971" t="s">
        <v>3974</v>
      </c>
      <c r="AG1971" t="s">
        <v>77</v>
      </c>
    </row>
    <row r="1972" spans="1:33" x14ac:dyDescent="0.25">
      <c r="A1972" t="str">
        <f>"1164539391"</f>
        <v>1164539391</v>
      </c>
      <c r="B1972" t="str">
        <f>"02619047"</f>
        <v>02619047</v>
      </c>
      <c r="C1972" t="s">
        <v>10371</v>
      </c>
      <c r="D1972" t="s">
        <v>2751</v>
      </c>
      <c r="E1972" t="s">
        <v>2752</v>
      </c>
      <c r="L1972" t="s">
        <v>79</v>
      </c>
      <c r="M1972" t="s">
        <v>72</v>
      </c>
      <c r="R1972" t="s">
        <v>2753</v>
      </c>
      <c r="W1972" t="s">
        <v>2754</v>
      </c>
      <c r="X1972" t="s">
        <v>234</v>
      </c>
      <c r="Y1972" t="s">
        <v>117</v>
      </c>
      <c r="Z1972" t="s">
        <v>73</v>
      </c>
      <c r="AA1972" t="str">
        <f>"14220-2039"</f>
        <v>14220-2039</v>
      </c>
      <c r="AB1972" t="s">
        <v>74</v>
      </c>
      <c r="AC1972" t="s">
        <v>75</v>
      </c>
      <c r="AD1972" t="s">
        <v>72</v>
      </c>
      <c r="AE1972" t="s">
        <v>76</v>
      </c>
      <c r="AF1972" t="s">
        <v>3974</v>
      </c>
      <c r="AG1972" t="s">
        <v>77</v>
      </c>
    </row>
    <row r="1973" spans="1:33" x14ac:dyDescent="0.25">
      <c r="A1973" t="str">
        <f>"1366609976"</f>
        <v>1366609976</v>
      </c>
      <c r="B1973" t="str">
        <f>"03475014"</f>
        <v>03475014</v>
      </c>
      <c r="C1973" t="s">
        <v>10372</v>
      </c>
      <c r="D1973" t="s">
        <v>10373</v>
      </c>
      <c r="E1973" t="s">
        <v>10374</v>
      </c>
      <c r="L1973" t="s">
        <v>80</v>
      </c>
      <c r="M1973" t="s">
        <v>72</v>
      </c>
      <c r="R1973" t="s">
        <v>10375</v>
      </c>
      <c r="W1973" t="s">
        <v>10374</v>
      </c>
      <c r="X1973" t="s">
        <v>10376</v>
      </c>
      <c r="Y1973" t="s">
        <v>209</v>
      </c>
      <c r="Z1973" t="s">
        <v>73</v>
      </c>
      <c r="AA1973" t="str">
        <f>"14305-1335"</f>
        <v>14305-1335</v>
      </c>
      <c r="AB1973" t="s">
        <v>74</v>
      </c>
      <c r="AC1973" t="s">
        <v>75</v>
      </c>
      <c r="AD1973" t="s">
        <v>72</v>
      </c>
      <c r="AE1973" t="s">
        <v>76</v>
      </c>
      <c r="AF1973" t="s">
        <v>3961</v>
      </c>
      <c r="AG1973" t="s">
        <v>77</v>
      </c>
    </row>
    <row r="1974" spans="1:33" x14ac:dyDescent="0.25">
      <c r="A1974" t="str">
        <f>"1205176633"</f>
        <v>1205176633</v>
      </c>
      <c r="B1974" t="str">
        <f>"03643510"</f>
        <v>03643510</v>
      </c>
      <c r="C1974" t="s">
        <v>10377</v>
      </c>
      <c r="D1974" t="s">
        <v>2218</v>
      </c>
      <c r="E1974" t="s">
        <v>2219</v>
      </c>
      <c r="L1974" t="s">
        <v>79</v>
      </c>
      <c r="M1974" t="s">
        <v>72</v>
      </c>
      <c r="R1974" t="s">
        <v>2220</v>
      </c>
      <c r="W1974" t="s">
        <v>2219</v>
      </c>
      <c r="X1974" t="s">
        <v>908</v>
      </c>
      <c r="Y1974" t="s">
        <v>630</v>
      </c>
      <c r="Z1974" t="s">
        <v>73</v>
      </c>
      <c r="AA1974" t="str">
        <f>"14043-4783"</f>
        <v>14043-4783</v>
      </c>
      <c r="AB1974" t="s">
        <v>74</v>
      </c>
      <c r="AC1974" t="s">
        <v>75</v>
      </c>
      <c r="AD1974" t="s">
        <v>72</v>
      </c>
      <c r="AE1974" t="s">
        <v>76</v>
      </c>
      <c r="AF1974" t="s">
        <v>3974</v>
      </c>
      <c r="AG1974" t="s">
        <v>77</v>
      </c>
    </row>
    <row r="1975" spans="1:33" x14ac:dyDescent="0.25">
      <c r="A1975" t="str">
        <f>"1598172215"</f>
        <v>1598172215</v>
      </c>
      <c r="B1975" t="str">
        <f>"03960510"</f>
        <v>03960510</v>
      </c>
      <c r="C1975" t="s">
        <v>10378</v>
      </c>
      <c r="D1975" t="s">
        <v>10379</v>
      </c>
      <c r="E1975" t="s">
        <v>10380</v>
      </c>
      <c r="L1975" t="s">
        <v>71</v>
      </c>
      <c r="M1975" t="s">
        <v>72</v>
      </c>
      <c r="R1975" t="s">
        <v>10381</v>
      </c>
      <c r="W1975" t="s">
        <v>10381</v>
      </c>
      <c r="X1975" t="s">
        <v>10382</v>
      </c>
      <c r="Y1975" t="s">
        <v>221</v>
      </c>
      <c r="Z1975" t="s">
        <v>73</v>
      </c>
      <c r="AA1975" t="str">
        <f>"14221-5259"</f>
        <v>14221-5259</v>
      </c>
      <c r="AB1975" t="s">
        <v>74</v>
      </c>
      <c r="AC1975" t="s">
        <v>75</v>
      </c>
      <c r="AD1975" t="s">
        <v>72</v>
      </c>
      <c r="AE1975" t="s">
        <v>76</v>
      </c>
      <c r="AF1975" t="s">
        <v>4043</v>
      </c>
      <c r="AG1975" t="s">
        <v>77</v>
      </c>
    </row>
    <row r="1976" spans="1:33" x14ac:dyDescent="0.25">
      <c r="A1976" t="str">
        <f>"1013268564"</f>
        <v>1013268564</v>
      </c>
      <c r="B1976" t="str">
        <f>"03541522"</f>
        <v>03541522</v>
      </c>
      <c r="C1976" t="s">
        <v>10383</v>
      </c>
      <c r="D1976" t="s">
        <v>10384</v>
      </c>
      <c r="E1976" t="s">
        <v>10385</v>
      </c>
      <c r="L1976" t="s">
        <v>80</v>
      </c>
      <c r="M1976" t="s">
        <v>72</v>
      </c>
      <c r="R1976" t="s">
        <v>10386</v>
      </c>
      <c r="W1976" t="s">
        <v>10385</v>
      </c>
      <c r="X1976" t="s">
        <v>1305</v>
      </c>
      <c r="Y1976" t="s">
        <v>117</v>
      </c>
      <c r="Z1976" t="s">
        <v>73</v>
      </c>
      <c r="AA1976" t="str">
        <f>"14222-1836"</f>
        <v>14222-1836</v>
      </c>
      <c r="AB1976" t="s">
        <v>74</v>
      </c>
      <c r="AC1976" t="s">
        <v>75</v>
      </c>
      <c r="AD1976" t="s">
        <v>72</v>
      </c>
      <c r="AE1976" t="s">
        <v>76</v>
      </c>
      <c r="AF1976" t="s">
        <v>3974</v>
      </c>
      <c r="AG1976" t="s">
        <v>77</v>
      </c>
    </row>
    <row r="1977" spans="1:33" x14ac:dyDescent="0.25">
      <c r="A1977" t="str">
        <f>"1568863660"</f>
        <v>1568863660</v>
      </c>
      <c r="B1977" t="str">
        <f>"03993088"</f>
        <v>03993088</v>
      </c>
      <c r="C1977" t="s">
        <v>10387</v>
      </c>
      <c r="D1977" t="s">
        <v>10388</v>
      </c>
      <c r="E1977" t="s">
        <v>10389</v>
      </c>
      <c r="L1977" t="s">
        <v>79</v>
      </c>
      <c r="M1977" t="s">
        <v>72</v>
      </c>
      <c r="R1977" t="s">
        <v>10389</v>
      </c>
      <c r="W1977" t="s">
        <v>10390</v>
      </c>
      <c r="X1977" t="s">
        <v>10391</v>
      </c>
      <c r="Y1977" t="s">
        <v>326</v>
      </c>
      <c r="Z1977" t="s">
        <v>73</v>
      </c>
      <c r="AA1977" t="str">
        <f>"14127-2291"</f>
        <v>14127-2291</v>
      </c>
      <c r="AB1977" t="s">
        <v>74</v>
      </c>
      <c r="AC1977" t="s">
        <v>75</v>
      </c>
      <c r="AD1977" t="s">
        <v>72</v>
      </c>
      <c r="AE1977" t="s">
        <v>76</v>
      </c>
      <c r="AF1977" t="s">
        <v>4043</v>
      </c>
      <c r="AG1977" t="s">
        <v>77</v>
      </c>
    </row>
    <row r="1978" spans="1:33" x14ac:dyDescent="0.25">
      <c r="A1978" t="str">
        <f>"1679853584"</f>
        <v>1679853584</v>
      </c>
      <c r="B1978" t="str">
        <f>"03405263"</f>
        <v>03405263</v>
      </c>
      <c r="C1978" t="s">
        <v>10392</v>
      </c>
      <c r="D1978" t="s">
        <v>652</v>
      </c>
      <c r="E1978" t="s">
        <v>653</v>
      </c>
      <c r="L1978" t="s">
        <v>71</v>
      </c>
      <c r="M1978" t="s">
        <v>72</v>
      </c>
      <c r="R1978" t="s">
        <v>655</v>
      </c>
      <c r="W1978" t="s">
        <v>653</v>
      </c>
      <c r="X1978" t="s">
        <v>656</v>
      </c>
      <c r="Y1978" t="s">
        <v>221</v>
      </c>
      <c r="Z1978" t="s">
        <v>73</v>
      </c>
      <c r="AA1978" t="str">
        <f>"14221-5258"</f>
        <v>14221-5258</v>
      </c>
      <c r="AB1978" t="s">
        <v>74</v>
      </c>
      <c r="AC1978" t="s">
        <v>75</v>
      </c>
      <c r="AD1978" t="s">
        <v>72</v>
      </c>
      <c r="AE1978" t="s">
        <v>76</v>
      </c>
      <c r="AF1978" t="s">
        <v>3974</v>
      </c>
      <c r="AG1978" t="s">
        <v>77</v>
      </c>
    </row>
    <row r="1979" spans="1:33" x14ac:dyDescent="0.25">
      <c r="A1979" t="str">
        <f>"1588783617"</f>
        <v>1588783617</v>
      </c>
      <c r="C1979" t="s">
        <v>10393</v>
      </c>
      <c r="K1979" t="s">
        <v>89</v>
      </c>
      <c r="L1979" t="s">
        <v>71</v>
      </c>
      <c r="M1979" t="s">
        <v>72</v>
      </c>
      <c r="R1979" t="s">
        <v>10394</v>
      </c>
      <c r="S1979" t="s">
        <v>385</v>
      </c>
      <c r="T1979" t="s">
        <v>228</v>
      </c>
      <c r="U1979" t="s">
        <v>73</v>
      </c>
      <c r="V1979" t="str">
        <f>"142261738"</f>
        <v>142261738</v>
      </c>
      <c r="AC1979" t="s">
        <v>75</v>
      </c>
      <c r="AD1979" t="s">
        <v>72</v>
      </c>
      <c r="AE1979" t="s">
        <v>93</v>
      </c>
      <c r="AF1979" t="s">
        <v>3974</v>
      </c>
      <c r="AG1979" t="s">
        <v>77</v>
      </c>
    </row>
    <row r="1980" spans="1:33" x14ac:dyDescent="0.25">
      <c r="A1980" t="str">
        <f>"1699030411"</f>
        <v>1699030411</v>
      </c>
      <c r="B1980" t="str">
        <f>"03474733"</f>
        <v>03474733</v>
      </c>
      <c r="C1980" t="s">
        <v>10395</v>
      </c>
      <c r="D1980" t="s">
        <v>10396</v>
      </c>
      <c r="E1980" t="s">
        <v>10397</v>
      </c>
      <c r="L1980" t="s">
        <v>96</v>
      </c>
      <c r="M1980" t="s">
        <v>72</v>
      </c>
      <c r="R1980" t="s">
        <v>10398</v>
      </c>
      <c r="W1980" t="s">
        <v>10397</v>
      </c>
      <c r="X1980" t="s">
        <v>1900</v>
      </c>
      <c r="Y1980" t="s">
        <v>228</v>
      </c>
      <c r="Z1980" t="s">
        <v>73</v>
      </c>
      <c r="AA1980" t="str">
        <f>"14226-1746"</f>
        <v>14226-1746</v>
      </c>
      <c r="AB1980" t="s">
        <v>74</v>
      </c>
      <c r="AC1980" t="s">
        <v>75</v>
      </c>
      <c r="AD1980" t="s">
        <v>72</v>
      </c>
      <c r="AE1980" t="s">
        <v>76</v>
      </c>
      <c r="AF1980" t="s">
        <v>3974</v>
      </c>
      <c r="AG1980" t="s">
        <v>77</v>
      </c>
    </row>
    <row r="1981" spans="1:33" x14ac:dyDescent="0.25">
      <c r="C1981" t="s">
        <v>10399</v>
      </c>
      <c r="G1981" t="s">
        <v>10400</v>
      </c>
      <c r="H1981" t="s">
        <v>1860</v>
      </c>
      <c r="K1981" t="s">
        <v>89</v>
      </c>
      <c r="L1981" t="s">
        <v>90</v>
      </c>
      <c r="M1981" t="s">
        <v>72</v>
      </c>
      <c r="AC1981" t="s">
        <v>75</v>
      </c>
      <c r="AD1981" t="s">
        <v>72</v>
      </c>
      <c r="AE1981" t="s">
        <v>91</v>
      </c>
      <c r="AG1981" t="s">
        <v>77</v>
      </c>
    </row>
    <row r="1982" spans="1:33" x14ac:dyDescent="0.25">
      <c r="C1982" t="s">
        <v>10401</v>
      </c>
      <c r="G1982" t="s">
        <v>213</v>
      </c>
      <c r="H1982" t="s">
        <v>214</v>
      </c>
      <c r="J1982" t="s">
        <v>215</v>
      </c>
      <c r="K1982" t="s">
        <v>89</v>
      </c>
      <c r="L1982" t="s">
        <v>90</v>
      </c>
      <c r="M1982" t="s">
        <v>72</v>
      </c>
      <c r="N1982" t="s">
        <v>10402</v>
      </c>
      <c r="O1982" t="s">
        <v>150</v>
      </c>
      <c r="P1982" t="s">
        <v>73</v>
      </c>
      <c r="Q1982" t="str">
        <f>"14620"</f>
        <v>14620</v>
      </c>
      <c r="AC1982" t="s">
        <v>75</v>
      </c>
      <c r="AD1982" t="s">
        <v>72</v>
      </c>
      <c r="AE1982" t="s">
        <v>91</v>
      </c>
      <c r="AF1982" t="s">
        <v>4059</v>
      </c>
      <c r="AG1982" t="s">
        <v>77</v>
      </c>
    </row>
    <row r="1983" spans="1:33" x14ac:dyDescent="0.25">
      <c r="A1983" t="str">
        <f>"1114938594"</f>
        <v>1114938594</v>
      </c>
      <c r="B1983" t="str">
        <f>"00474828"</f>
        <v>00474828</v>
      </c>
      <c r="C1983" t="s">
        <v>10403</v>
      </c>
      <c r="D1983" t="s">
        <v>10404</v>
      </c>
      <c r="E1983" t="s">
        <v>10405</v>
      </c>
      <c r="G1983" t="s">
        <v>10406</v>
      </c>
      <c r="H1983" t="s">
        <v>3622</v>
      </c>
      <c r="J1983" t="s">
        <v>10407</v>
      </c>
      <c r="L1983" t="s">
        <v>11</v>
      </c>
      <c r="M1983" t="s">
        <v>81</v>
      </c>
      <c r="R1983" t="s">
        <v>10408</v>
      </c>
      <c r="W1983" t="s">
        <v>10405</v>
      </c>
      <c r="X1983" t="s">
        <v>10409</v>
      </c>
      <c r="Y1983" t="s">
        <v>117</v>
      </c>
      <c r="Z1983" t="s">
        <v>73</v>
      </c>
      <c r="AA1983" t="str">
        <f>"14209-2111"</f>
        <v>14209-2111</v>
      </c>
      <c r="AB1983" t="s">
        <v>109</v>
      </c>
      <c r="AC1983" t="s">
        <v>75</v>
      </c>
      <c r="AD1983" t="s">
        <v>72</v>
      </c>
      <c r="AE1983" t="s">
        <v>76</v>
      </c>
      <c r="AF1983" t="s">
        <v>4059</v>
      </c>
      <c r="AG1983" t="s">
        <v>77</v>
      </c>
    </row>
    <row r="1984" spans="1:33" x14ac:dyDescent="0.25">
      <c r="A1984" t="str">
        <f>"1427130889"</f>
        <v>1427130889</v>
      </c>
      <c r="B1984" t="str">
        <f>"01423394"</f>
        <v>01423394</v>
      </c>
      <c r="C1984" t="s">
        <v>10410</v>
      </c>
      <c r="D1984" t="s">
        <v>10411</v>
      </c>
      <c r="E1984" t="s">
        <v>10412</v>
      </c>
      <c r="G1984" t="s">
        <v>10413</v>
      </c>
      <c r="H1984" t="s">
        <v>3549</v>
      </c>
      <c r="J1984" t="s">
        <v>3950</v>
      </c>
      <c r="L1984" t="s">
        <v>107</v>
      </c>
      <c r="M1984" t="s">
        <v>81</v>
      </c>
      <c r="R1984" t="s">
        <v>10414</v>
      </c>
      <c r="W1984" t="s">
        <v>10412</v>
      </c>
      <c r="X1984" t="s">
        <v>10415</v>
      </c>
      <c r="Y1984" t="s">
        <v>117</v>
      </c>
      <c r="Z1984" t="s">
        <v>73</v>
      </c>
      <c r="AA1984" t="str">
        <f>"14213-1298"</f>
        <v>14213-1298</v>
      </c>
      <c r="AB1984" t="s">
        <v>86</v>
      </c>
      <c r="AC1984" t="s">
        <v>75</v>
      </c>
      <c r="AD1984" t="s">
        <v>72</v>
      </c>
      <c r="AE1984" t="s">
        <v>76</v>
      </c>
      <c r="AF1984" t="s">
        <v>4059</v>
      </c>
      <c r="AG1984" t="s">
        <v>77</v>
      </c>
    </row>
    <row r="1985" spans="1:33" x14ac:dyDescent="0.25">
      <c r="C1985" t="s">
        <v>10416</v>
      </c>
      <c r="G1985" t="s">
        <v>10417</v>
      </c>
      <c r="H1985" t="s">
        <v>10418</v>
      </c>
      <c r="J1985" t="s">
        <v>10419</v>
      </c>
      <c r="K1985" t="s">
        <v>89</v>
      </c>
      <c r="L1985" t="s">
        <v>90</v>
      </c>
      <c r="M1985" t="s">
        <v>72</v>
      </c>
      <c r="N1985" t="s">
        <v>10420</v>
      </c>
      <c r="O1985" t="s">
        <v>401</v>
      </c>
      <c r="P1985" t="s">
        <v>73</v>
      </c>
      <c r="Q1985" t="str">
        <f>"14094"</f>
        <v>14094</v>
      </c>
      <c r="AC1985" t="s">
        <v>75</v>
      </c>
      <c r="AD1985" t="s">
        <v>72</v>
      </c>
      <c r="AE1985" t="s">
        <v>91</v>
      </c>
      <c r="AG1985" t="s">
        <v>77</v>
      </c>
    </row>
    <row r="1986" spans="1:33" x14ac:dyDescent="0.25">
      <c r="C1986" t="s">
        <v>8071</v>
      </c>
      <c r="G1986" t="s">
        <v>8074</v>
      </c>
      <c r="H1986" t="s">
        <v>8075</v>
      </c>
      <c r="J1986" t="s">
        <v>10421</v>
      </c>
      <c r="K1986" t="s">
        <v>89</v>
      </c>
      <c r="L1986" t="s">
        <v>90</v>
      </c>
      <c r="M1986" t="s">
        <v>72</v>
      </c>
      <c r="N1986" t="s">
        <v>8076</v>
      </c>
      <c r="O1986" t="s">
        <v>10422</v>
      </c>
      <c r="P1986" t="s">
        <v>73</v>
      </c>
      <c r="Q1986" t="str">
        <f>"14217"</f>
        <v>14217</v>
      </c>
      <c r="AC1986" t="s">
        <v>75</v>
      </c>
      <c r="AD1986" t="s">
        <v>72</v>
      </c>
      <c r="AE1986" t="s">
        <v>91</v>
      </c>
      <c r="AF1986" t="s">
        <v>4059</v>
      </c>
      <c r="AG1986" t="s">
        <v>77</v>
      </c>
    </row>
    <row r="1987" spans="1:33" x14ac:dyDescent="0.25">
      <c r="A1987" t="str">
        <f>"1043507262"</f>
        <v>1043507262</v>
      </c>
      <c r="C1987" t="s">
        <v>537</v>
      </c>
      <c r="G1987" t="s">
        <v>538</v>
      </c>
      <c r="H1987" t="s">
        <v>539</v>
      </c>
      <c r="I1987">
        <v>1021</v>
      </c>
      <c r="J1987" t="s">
        <v>10423</v>
      </c>
      <c r="K1987" t="s">
        <v>89</v>
      </c>
      <c r="L1987" t="s">
        <v>92</v>
      </c>
      <c r="M1987" t="s">
        <v>72</v>
      </c>
      <c r="R1987" t="s">
        <v>2008</v>
      </c>
      <c r="S1987" t="s">
        <v>2009</v>
      </c>
      <c r="T1987" t="s">
        <v>202</v>
      </c>
      <c r="U1987" t="s">
        <v>73</v>
      </c>
      <c r="V1987" t="str">
        <f>"144201305"</f>
        <v>144201305</v>
      </c>
      <c r="AC1987" t="s">
        <v>75</v>
      </c>
      <c r="AD1987" t="s">
        <v>72</v>
      </c>
      <c r="AE1987" t="s">
        <v>93</v>
      </c>
      <c r="AF1987" t="s">
        <v>4078</v>
      </c>
      <c r="AG1987" t="s">
        <v>77</v>
      </c>
    </row>
    <row r="1988" spans="1:33" x14ac:dyDescent="0.25">
      <c r="C1988" t="s">
        <v>10424</v>
      </c>
      <c r="G1988" t="s">
        <v>7310</v>
      </c>
      <c r="H1988" t="s">
        <v>7311</v>
      </c>
      <c r="K1988" t="s">
        <v>89</v>
      </c>
      <c r="L1988" t="s">
        <v>90</v>
      </c>
      <c r="M1988" t="s">
        <v>72</v>
      </c>
      <c r="AC1988" t="s">
        <v>75</v>
      </c>
      <c r="AD1988" t="s">
        <v>72</v>
      </c>
      <c r="AE1988" t="s">
        <v>91</v>
      </c>
      <c r="AG1988" t="s">
        <v>77</v>
      </c>
    </row>
    <row r="1989" spans="1:33" x14ac:dyDescent="0.25">
      <c r="B1989" t="str">
        <f>"02002808"</f>
        <v>02002808</v>
      </c>
      <c r="C1989" t="s">
        <v>10425</v>
      </c>
      <c r="D1989" t="s">
        <v>860</v>
      </c>
      <c r="E1989" t="s">
        <v>859</v>
      </c>
      <c r="F1989">
        <v>161043710</v>
      </c>
      <c r="G1989" t="s">
        <v>10426</v>
      </c>
      <c r="H1989" t="s">
        <v>3583</v>
      </c>
      <c r="I1989">
        <v>304</v>
      </c>
      <c r="J1989" t="s">
        <v>3584</v>
      </c>
      <c r="L1989" t="s">
        <v>33</v>
      </c>
      <c r="M1989" t="s">
        <v>72</v>
      </c>
      <c r="W1989" t="s">
        <v>859</v>
      </c>
      <c r="Y1989" t="s">
        <v>117</v>
      </c>
      <c r="Z1989" t="s">
        <v>73</v>
      </c>
      <c r="AA1989" t="str">
        <f>"14207-2877"</f>
        <v>14207-2877</v>
      </c>
      <c r="AB1989" t="s">
        <v>88</v>
      </c>
      <c r="AC1989" t="s">
        <v>75</v>
      </c>
      <c r="AD1989" t="s">
        <v>72</v>
      </c>
      <c r="AE1989" t="s">
        <v>76</v>
      </c>
      <c r="AG1989" t="s">
        <v>77</v>
      </c>
    </row>
    <row r="1990" spans="1:33" x14ac:dyDescent="0.25">
      <c r="C1990" t="s">
        <v>10427</v>
      </c>
      <c r="G1990" t="s">
        <v>10428</v>
      </c>
      <c r="H1990" t="s">
        <v>10429</v>
      </c>
      <c r="I1990">
        <v>315</v>
      </c>
      <c r="J1990" t="s">
        <v>10430</v>
      </c>
      <c r="K1990" t="s">
        <v>89</v>
      </c>
      <c r="L1990" t="s">
        <v>90</v>
      </c>
      <c r="M1990" t="s">
        <v>72</v>
      </c>
      <c r="N1990" t="s">
        <v>10431</v>
      </c>
      <c r="O1990" t="s">
        <v>1101</v>
      </c>
      <c r="P1990" t="s">
        <v>73</v>
      </c>
      <c r="Q1990" t="str">
        <f>"14213"</f>
        <v>14213</v>
      </c>
      <c r="AC1990" t="s">
        <v>75</v>
      </c>
      <c r="AD1990" t="s">
        <v>72</v>
      </c>
      <c r="AE1990" t="s">
        <v>91</v>
      </c>
      <c r="AF1990" t="s">
        <v>4059</v>
      </c>
      <c r="AG1990" t="s">
        <v>77</v>
      </c>
    </row>
    <row r="1991" spans="1:33" x14ac:dyDescent="0.25">
      <c r="A1991" t="str">
        <f>"1639255250"</f>
        <v>1639255250</v>
      </c>
      <c r="B1991" t="str">
        <f>"01406284"</f>
        <v>01406284</v>
      </c>
      <c r="C1991" t="s">
        <v>10432</v>
      </c>
      <c r="D1991" t="s">
        <v>2294</v>
      </c>
      <c r="E1991" t="s">
        <v>2295</v>
      </c>
      <c r="G1991" t="s">
        <v>10433</v>
      </c>
      <c r="H1991" t="s">
        <v>2296</v>
      </c>
      <c r="J1991" t="s">
        <v>10434</v>
      </c>
      <c r="L1991" t="s">
        <v>17</v>
      </c>
      <c r="M1991" t="s">
        <v>72</v>
      </c>
      <c r="R1991" t="s">
        <v>2297</v>
      </c>
      <c r="W1991" t="s">
        <v>2295</v>
      </c>
      <c r="X1991" t="s">
        <v>2298</v>
      </c>
      <c r="Y1991" t="s">
        <v>146</v>
      </c>
      <c r="Z1991" t="s">
        <v>73</v>
      </c>
      <c r="AA1991" t="str">
        <f>"14750-1702"</f>
        <v>14750-1702</v>
      </c>
      <c r="AB1991" t="s">
        <v>109</v>
      </c>
      <c r="AC1991" t="s">
        <v>75</v>
      </c>
      <c r="AD1991" t="s">
        <v>72</v>
      </c>
      <c r="AE1991" t="s">
        <v>76</v>
      </c>
      <c r="AF1991" t="s">
        <v>10435</v>
      </c>
      <c r="AG1991" t="s">
        <v>77</v>
      </c>
    </row>
    <row r="1992" spans="1:33" x14ac:dyDescent="0.25">
      <c r="A1992" t="str">
        <f>"1679698286"</f>
        <v>1679698286</v>
      </c>
      <c r="B1992" t="str">
        <f>"02996876"</f>
        <v>02996876</v>
      </c>
      <c r="C1992" t="s">
        <v>10436</v>
      </c>
      <c r="D1992" t="s">
        <v>1858</v>
      </c>
      <c r="E1992" t="s">
        <v>1859</v>
      </c>
      <c r="G1992" t="s">
        <v>5692</v>
      </c>
      <c r="H1992" t="s">
        <v>1860</v>
      </c>
      <c r="J1992" t="s">
        <v>5693</v>
      </c>
      <c r="L1992" t="s">
        <v>152</v>
      </c>
      <c r="M1992" t="s">
        <v>81</v>
      </c>
      <c r="R1992" t="s">
        <v>1857</v>
      </c>
      <c r="W1992" t="s">
        <v>1861</v>
      </c>
      <c r="X1992" t="s">
        <v>1862</v>
      </c>
      <c r="Y1992" t="s">
        <v>117</v>
      </c>
      <c r="Z1992" t="s">
        <v>73</v>
      </c>
      <c r="AA1992" t="str">
        <f>"14213-1503"</f>
        <v>14213-1503</v>
      </c>
      <c r="AB1992" t="s">
        <v>83</v>
      </c>
      <c r="AC1992" t="s">
        <v>75</v>
      </c>
      <c r="AD1992" t="s">
        <v>72</v>
      </c>
      <c r="AE1992" t="s">
        <v>76</v>
      </c>
      <c r="AF1992" t="s">
        <v>4879</v>
      </c>
      <c r="AG1992" t="s">
        <v>77</v>
      </c>
    </row>
    <row r="1993" spans="1:33" x14ac:dyDescent="0.25">
      <c r="A1993" t="str">
        <f>"1194921908"</f>
        <v>1194921908</v>
      </c>
      <c r="B1993" t="str">
        <f>"02989839"</f>
        <v>02989839</v>
      </c>
      <c r="C1993" t="s">
        <v>10437</v>
      </c>
      <c r="D1993" t="s">
        <v>10438</v>
      </c>
      <c r="E1993" t="s">
        <v>10439</v>
      </c>
      <c r="G1993" t="s">
        <v>5692</v>
      </c>
      <c r="H1993" t="s">
        <v>1860</v>
      </c>
      <c r="J1993" t="s">
        <v>5693</v>
      </c>
      <c r="L1993" t="s">
        <v>96</v>
      </c>
      <c r="M1993" t="s">
        <v>72</v>
      </c>
      <c r="R1993" t="s">
        <v>10439</v>
      </c>
      <c r="W1993" t="s">
        <v>10439</v>
      </c>
      <c r="X1993" t="s">
        <v>10440</v>
      </c>
      <c r="Y1993" t="s">
        <v>117</v>
      </c>
      <c r="Z1993" t="s">
        <v>73</v>
      </c>
      <c r="AA1993" t="str">
        <f>"14213-0657"</f>
        <v>14213-0657</v>
      </c>
      <c r="AB1993" t="s">
        <v>104</v>
      </c>
      <c r="AC1993" t="s">
        <v>75</v>
      </c>
      <c r="AD1993" t="s">
        <v>72</v>
      </c>
      <c r="AE1993" t="s">
        <v>76</v>
      </c>
      <c r="AG1993" t="s">
        <v>77</v>
      </c>
    </row>
    <row r="1994" spans="1:33" x14ac:dyDescent="0.25">
      <c r="A1994" t="str">
        <f>"1194921999"</f>
        <v>1194921999</v>
      </c>
      <c r="C1994" t="s">
        <v>10441</v>
      </c>
      <c r="G1994" t="s">
        <v>5692</v>
      </c>
      <c r="H1994" t="s">
        <v>1860</v>
      </c>
      <c r="J1994" t="s">
        <v>5693</v>
      </c>
      <c r="K1994" t="s">
        <v>89</v>
      </c>
      <c r="L1994" t="s">
        <v>71</v>
      </c>
      <c r="M1994" t="s">
        <v>72</v>
      </c>
      <c r="R1994" t="s">
        <v>10442</v>
      </c>
      <c r="S1994" t="s">
        <v>1862</v>
      </c>
      <c r="T1994" t="s">
        <v>117</v>
      </c>
      <c r="U1994" t="s">
        <v>73</v>
      </c>
      <c r="V1994" t="str">
        <f>"142131503"</f>
        <v>142131503</v>
      </c>
      <c r="AC1994" t="s">
        <v>75</v>
      </c>
      <c r="AD1994" t="s">
        <v>72</v>
      </c>
      <c r="AE1994" t="s">
        <v>93</v>
      </c>
      <c r="AG1994" t="s">
        <v>77</v>
      </c>
    </row>
    <row r="1995" spans="1:33" x14ac:dyDescent="0.25">
      <c r="A1995" t="str">
        <f>"1407258460"</f>
        <v>1407258460</v>
      </c>
      <c r="C1995" t="s">
        <v>10443</v>
      </c>
      <c r="G1995" t="s">
        <v>5692</v>
      </c>
      <c r="H1995" t="s">
        <v>1860</v>
      </c>
      <c r="J1995" t="s">
        <v>5693</v>
      </c>
      <c r="K1995" t="s">
        <v>89</v>
      </c>
      <c r="L1995" t="s">
        <v>92</v>
      </c>
      <c r="M1995" t="s">
        <v>72</v>
      </c>
      <c r="R1995" t="s">
        <v>10444</v>
      </c>
      <c r="S1995" t="s">
        <v>1862</v>
      </c>
      <c r="T1995" t="s">
        <v>117</v>
      </c>
      <c r="U1995" t="s">
        <v>73</v>
      </c>
      <c r="V1995" t="str">
        <f>"142131503"</f>
        <v>142131503</v>
      </c>
      <c r="AC1995" t="s">
        <v>75</v>
      </c>
      <c r="AD1995" t="s">
        <v>72</v>
      </c>
      <c r="AE1995" t="s">
        <v>93</v>
      </c>
      <c r="AG1995" t="s">
        <v>77</v>
      </c>
    </row>
    <row r="1996" spans="1:33" x14ac:dyDescent="0.25">
      <c r="A1996" t="str">
        <f>"1639519333"</f>
        <v>1639519333</v>
      </c>
      <c r="C1996" t="s">
        <v>10445</v>
      </c>
      <c r="G1996" t="s">
        <v>5692</v>
      </c>
      <c r="H1996" t="s">
        <v>1860</v>
      </c>
      <c r="J1996" t="s">
        <v>5693</v>
      </c>
      <c r="K1996" t="s">
        <v>89</v>
      </c>
      <c r="L1996" t="s">
        <v>92</v>
      </c>
      <c r="M1996" t="s">
        <v>72</v>
      </c>
      <c r="R1996" t="s">
        <v>10446</v>
      </c>
      <c r="S1996" t="s">
        <v>1862</v>
      </c>
      <c r="T1996" t="s">
        <v>117</v>
      </c>
      <c r="U1996" t="s">
        <v>73</v>
      </c>
      <c r="V1996" t="str">
        <f>"142131503"</f>
        <v>142131503</v>
      </c>
      <c r="AC1996" t="s">
        <v>75</v>
      </c>
      <c r="AD1996" t="s">
        <v>72</v>
      </c>
      <c r="AE1996" t="s">
        <v>93</v>
      </c>
      <c r="AG1996" t="s">
        <v>77</v>
      </c>
    </row>
    <row r="1997" spans="1:33" x14ac:dyDescent="0.25">
      <c r="A1997" t="str">
        <f>"1891955225"</f>
        <v>1891955225</v>
      </c>
      <c r="C1997" t="s">
        <v>10447</v>
      </c>
      <c r="G1997" t="s">
        <v>5692</v>
      </c>
      <c r="H1997" t="s">
        <v>1860</v>
      </c>
      <c r="J1997" t="s">
        <v>5693</v>
      </c>
      <c r="K1997" t="s">
        <v>89</v>
      </c>
      <c r="L1997" t="s">
        <v>92</v>
      </c>
      <c r="M1997" t="s">
        <v>72</v>
      </c>
      <c r="R1997" t="s">
        <v>10448</v>
      </c>
      <c r="S1997" t="s">
        <v>1862</v>
      </c>
      <c r="T1997" t="s">
        <v>117</v>
      </c>
      <c r="U1997" t="s">
        <v>73</v>
      </c>
      <c r="V1997" t="str">
        <f>"142131503"</f>
        <v>142131503</v>
      </c>
      <c r="AC1997" t="s">
        <v>75</v>
      </c>
      <c r="AD1997" t="s">
        <v>72</v>
      </c>
      <c r="AE1997" t="s">
        <v>93</v>
      </c>
      <c r="AG1997" t="s">
        <v>77</v>
      </c>
    </row>
    <row r="1998" spans="1:33" x14ac:dyDescent="0.25">
      <c r="A1998" t="str">
        <f>"1821359092"</f>
        <v>1821359092</v>
      </c>
      <c r="C1998" t="s">
        <v>10449</v>
      </c>
      <c r="G1998" t="s">
        <v>5692</v>
      </c>
      <c r="H1998" t="s">
        <v>1860</v>
      </c>
      <c r="J1998" t="s">
        <v>5693</v>
      </c>
      <c r="K1998" t="s">
        <v>89</v>
      </c>
      <c r="L1998" t="s">
        <v>92</v>
      </c>
      <c r="M1998" t="s">
        <v>72</v>
      </c>
      <c r="R1998" t="s">
        <v>10450</v>
      </c>
      <c r="S1998" t="s">
        <v>1862</v>
      </c>
      <c r="T1998" t="s">
        <v>117</v>
      </c>
      <c r="U1998" t="s">
        <v>73</v>
      </c>
      <c r="V1998" t="str">
        <f>"142131503"</f>
        <v>142131503</v>
      </c>
      <c r="AC1998" t="s">
        <v>75</v>
      </c>
      <c r="AD1998" t="s">
        <v>72</v>
      </c>
      <c r="AE1998" t="s">
        <v>93</v>
      </c>
      <c r="AG1998" t="s">
        <v>77</v>
      </c>
    </row>
    <row r="1999" spans="1:33" x14ac:dyDescent="0.25">
      <c r="A1999" t="str">
        <f>"1750314266"</f>
        <v>1750314266</v>
      </c>
      <c r="B1999" t="str">
        <f>"03929384"</f>
        <v>03929384</v>
      </c>
      <c r="C1999" t="s">
        <v>10451</v>
      </c>
      <c r="D1999" t="s">
        <v>10452</v>
      </c>
      <c r="E1999" t="s">
        <v>10453</v>
      </c>
      <c r="L1999" t="s">
        <v>92</v>
      </c>
      <c r="M1999" t="s">
        <v>72</v>
      </c>
      <c r="R1999" t="s">
        <v>10453</v>
      </c>
      <c r="W1999" t="s">
        <v>10453</v>
      </c>
      <c r="X1999" t="s">
        <v>10454</v>
      </c>
      <c r="Y1999" t="s">
        <v>117</v>
      </c>
      <c r="Z1999" t="s">
        <v>73</v>
      </c>
      <c r="AA1999" t="str">
        <f>"14220-1706"</f>
        <v>14220-1706</v>
      </c>
      <c r="AB1999" t="s">
        <v>112</v>
      </c>
      <c r="AC1999" t="s">
        <v>75</v>
      </c>
      <c r="AD1999" t="s">
        <v>72</v>
      </c>
      <c r="AE1999" t="s">
        <v>76</v>
      </c>
      <c r="AF1999" t="s">
        <v>4043</v>
      </c>
      <c r="AG1999" t="s">
        <v>77</v>
      </c>
    </row>
    <row r="2000" spans="1:33" x14ac:dyDescent="0.25">
      <c r="A2000" t="str">
        <f>"1043537996"</f>
        <v>1043537996</v>
      </c>
      <c r="B2000" t="str">
        <f>"03225725"</f>
        <v>03225725</v>
      </c>
      <c r="C2000" t="s">
        <v>10455</v>
      </c>
      <c r="D2000" t="s">
        <v>10456</v>
      </c>
      <c r="E2000" t="s">
        <v>10457</v>
      </c>
      <c r="L2000" t="s">
        <v>79</v>
      </c>
      <c r="M2000" t="s">
        <v>72</v>
      </c>
      <c r="R2000" t="s">
        <v>10458</v>
      </c>
      <c r="W2000" t="s">
        <v>10457</v>
      </c>
      <c r="X2000" t="s">
        <v>10459</v>
      </c>
      <c r="Y2000" t="s">
        <v>326</v>
      </c>
      <c r="Z2000" t="s">
        <v>73</v>
      </c>
      <c r="AA2000" t="str">
        <f>"14127-1853"</f>
        <v>14127-1853</v>
      </c>
      <c r="AB2000" t="s">
        <v>74</v>
      </c>
      <c r="AC2000" t="s">
        <v>75</v>
      </c>
      <c r="AD2000" t="s">
        <v>72</v>
      </c>
      <c r="AE2000" t="s">
        <v>76</v>
      </c>
      <c r="AF2000" t="s">
        <v>3974</v>
      </c>
      <c r="AG2000" t="s">
        <v>77</v>
      </c>
    </row>
    <row r="2001" spans="1:33" x14ac:dyDescent="0.25">
      <c r="A2001" t="str">
        <f>"1568413102"</f>
        <v>1568413102</v>
      </c>
      <c r="B2001" t="str">
        <f>"02347166"</f>
        <v>02347166</v>
      </c>
      <c r="C2001" t="s">
        <v>10460</v>
      </c>
      <c r="D2001" t="s">
        <v>10461</v>
      </c>
      <c r="E2001" t="s">
        <v>10462</v>
      </c>
      <c r="L2001" t="s">
        <v>79</v>
      </c>
      <c r="M2001" t="s">
        <v>72</v>
      </c>
      <c r="R2001" t="s">
        <v>10463</v>
      </c>
      <c r="W2001" t="s">
        <v>10462</v>
      </c>
      <c r="X2001" t="s">
        <v>10462</v>
      </c>
      <c r="Y2001" t="s">
        <v>392</v>
      </c>
      <c r="Z2001" t="s">
        <v>73</v>
      </c>
      <c r="AA2001" t="str">
        <f>"14120-6563"</f>
        <v>14120-6563</v>
      </c>
      <c r="AB2001" t="s">
        <v>74</v>
      </c>
      <c r="AC2001" t="s">
        <v>75</v>
      </c>
      <c r="AD2001" t="s">
        <v>72</v>
      </c>
      <c r="AE2001" t="s">
        <v>76</v>
      </c>
      <c r="AF2001" t="s">
        <v>3961</v>
      </c>
      <c r="AG2001" t="s">
        <v>77</v>
      </c>
    </row>
    <row r="2002" spans="1:33" x14ac:dyDescent="0.25">
      <c r="A2002" t="str">
        <f>"1306266630"</f>
        <v>1306266630</v>
      </c>
      <c r="B2002" t="str">
        <f>"04027914"</f>
        <v>04027914</v>
      </c>
      <c r="C2002" t="s">
        <v>10464</v>
      </c>
      <c r="D2002" t="s">
        <v>10465</v>
      </c>
      <c r="E2002" t="s">
        <v>10466</v>
      </c>
      <c r="L2002" t="s">
        <v>71</v>
      </c>
      <c r="M2002" t="s">
        <v>72</v>
      </c>
      <c r="R2002" t="s">
        <v>10467</v>
      </c>
      <c r="W2002" t="s">
        <v>10468</v>
      </c>
      <c r="X2002" t="s">
        <v>2556</v>
      </c>
      <c r="Y2002" t="s">
        <v>221</v>
      </c>
      <c r="Z2002" t="s">
        <v>73</v>
      </c>
      <c r="AA2002" t="str">
        <f>"14221-5726"</f>
        <v>14221-5726</v>
      </c>
      <c r="AB2002" t="s">
        <v>74</v>
      </c>
      <c r="AC2002" t="s">
        <v>75</v>
      </c>
      <c r="AD2002" t="s">
        <v>72</v>
      </c>
      <c r="AE2002" t="s">
        <v>76</v>
      </c>
      <c r="AF2002" t="s">
        <v>4043</v>
      </c>
      <c r="AG2002" t="s">
        <v>77</v>
      </c>
    </row>
    <row r="2003" spans="1:33" x14ac:dyDescent="0.25">
      <c r="A2003" t="str">
        <f>"1972800431"</f>
        <v>1972800431</v>
      </c>
      <c r="B2003" t="str">
        <f>"03351388"</f>
        <v>03351388</v>
      </c>
      <c r="C2003" t="s">
        <v>10469</v>
      </c>
      <c r="D2003" t="s">
        <v>10470</v>
      </c>
      <c r="E2003" t="s">
        <v>10471</v>
      </c>
      <c r="L2003" t="s">
        <v>71</v>
      </c>
      <c r="M2003" t="s">
        <v>72</v>
      </c>
      <c r="R2003" t="s">
        <v>10472</v>
      </c>
      <c r="W2003" t="s">
        <v>10471</v>
      </c>
      <c r="X2003" t="s">
        <v>10473</v>
      </c>
      <c r="Y2003" t="s">
        <v>188</v>
      </c>
      <c r="Z2003" t="s">
        <v>73</v>
      </c>
      <c r="AA2003" t="str">
        <f>"14092-2149"</f>
        <v>14092-2149</v>
      </c>
      <c r="AB2003" t="s">
        <v>74</v>
      </c>
      <c r="AC2003" t="s">
        <v>75</v>
      </c>
      <c r="AD2003" t="s">
        <v>72</v>
      </c>
      <c r="AE2003" t="s">
        <v>76</v>
      </c>
      <c r="AF2003" t="s">
        <v>4043</v>
      </c>
      <c r="AG2003" t="s">
        <v>77</v>
      </c>
    </row>
    <row r="2004" spans="1:33" x14ac:dyDescent="0.25">
      <c r="A2004" t="str">
        <f>"1639107196"</f>
        <v>1639107196</v>
      </c>
      <c r="B2004" t="str">
        <f>"02287185"</f>
        <v>02287185</v>
      </c>
      <c r="C2004" t="s">
        <v>10474</v>
      </c>
      <c r="D2004" t="s">
        <v>2318</v>
      </c>
      <c r="E2004" t="s">
        <v>2319</v>
      </c>
      <c r="L2004" t="s">
        <v>71</v>
      </c>
      <c r="M2004" t="s">
        <v>72</v>
      </c>
      <c r="R2004" t="s">
        <v>2320</v>
      </c>
      <c r="W2004" t="s">
        <v>2319</v>
      </c>
      <c r="X2004" t="s">
        <v>2233</v>
      </c>
      <c r="Y2004" t="s">
        <v>117</v>
      </c>
      <c r="Z2004" t="s">
        <v>73</v>
      </c>
      <c r="AA2004" t="str">
        <f>"14226-1855"</f>
        <v>14226-1855</v>
      </c>
      <c r="AB2004" t="s">
        <v>74</v>
      </c>
      <c r="AC2004" t="s">
        <v>75</v>
      </c>
      <c r="AD2004" t="s">
        <v>72</v>
      </c>
      <c r="AE2004" t="s">
        <v>76</v>
      </c>
      <c r="AF2004" t="s">
        <v>3974</v>
      </c>
      <c r="AG2004" t="s">
        <v>77</v>
      </c>
    </row>
    <row r="2005" spans="1:33" x14ac:dyDescent="0.25">
      <c r="A2005" t="str">
        <f>"1740265537"</f>
        <v>1740265537</v>
      </c>
      <c r="B2005" t="str">
        <f>"01412591"</f>
        <v>01412591</v>
      </c>
      <c r="C2005" t="s">
        <v>10475</v>
      </c>
      <c r="D2005" t="s">
        <v>2459</v>
      </c>
      <c r="E2005" t="s">
        <v>2460</v>
      </c>
      <c r="L2005" t="s">
        <v>71</v>
      </c>
      <c r="M2005" t="s">
        <v>72</v>
      </c>
      <c r="R2005" t="s">
        <v>2461</v>
      </c>
      <c r="W2005" t="s">
        <v>2460</v>
      </c>
      <c r="X2005" t="s">
        <v>180</v>
      </c>
      <c r="Y2005" t="s">
        <v>117</v>
      </c>
      <c r="Z2005" t="s">
        <v>73</v>
      </c>
      <c r="AA2005" t="str">
        <f>"14214-2673"</f>
        <v>14214-2673</v>
      </c>
      <c r="AB2005" t="s">
        <v>74</v>
      </c>
      <c r="AC2005" t="s">
        <v>75</v>
      </c>
      <c r="AD2005" t="s">
        <v>72</v>
      </c>
      <c r="AE2005" t="s">
        <v>76</v>
      </c>
      <c r="AF2005" t="s">
        <v>3974</v>
      </c>
      <c r="AG2005" t="s">
        <v>77</v>
      </c>
    </row>
    <row r="2006" spans="1:33" x14ac:dyDescent="0.25">
      <c r="A2006" t="str">
        <f>"1124072855"</f>
        <v>1124072855</v>
      </c>
      <c r="B2006" t="str">
        <f>"02429629"</f>
        <v>02429629</v>
      </c>
      <c r="C2006" t="s">
        <v>10476</v>
      </c>
      <c r="D2006" t="s">
        <v>10477</v>
      </c>
      <c r="E2006" t="s">
        <v>10478</v>
      </c>
      <c r="L2006" t="s">
        <v>96</v>
      </c>
      <c r="M2006" t="s">
        <v>72</v>
      </c>
      <c r="R2006" t="s">
        <v>10479</v>
      </c>
      <c r="W2006" t="s">
        <v>10478</v>
      </c>
      <c r="X2006" t="s">
        <v>1900</v>
      </c>
      <c r="Y2006" t="s">
        <v>228</v>
      </c>
      <c r="Z2006" t="s">
        <v>73</v>
      </c>
      <c r="AA2006" t="str">
        <f>"14226-1746"</f>
        <v>14226-1746</v>
      </c>
      <c r="AB2006" t="s">
        <v>74</v>
      </c>
      <c r="AC2006" t="s">
        <v>75</v>
      </c>
      <c r="AD2006" t="s">
        <v>72</v>
      </c>
      <c r="AE2006" t="s">
        <v>76</v>
      </c>
      <c r="AF2006" t="s">
        <v>3974</v>
      </c>
      <c r="AG2006" t="s">
        <v>77</v>
      </c>
    </row>
    <row r="2007" spans="1:33" x14ac:dyDescent="0.25">
      <c r="A2007" t="str">
        <f>"1083790430"</f>
        <v>1083790430</v>
      </c>
      <c r="B2007" t="str">
        <f>"02882800"</f>
        <v>02882800</v>
      </c>
      <c r="C2007" t="s">
        <v>10480</v>
      </c>
      <c r="D2007" t="s">
        <v>10481</v>
      </c>
      <c r="E2007" t="s">
        <v>10482</v>
      </c>
      <c r="L2007" t="s">
        <v>80</v>
      </c>
      <c r="M2007" t="s">
        <v>72</v>
      </c>
      <c r="R2007" t="s">
        <v>10483</v>
      </c>
      <c r="W2007" t="s">
        <v>10482</v>
      </c>
      <c r="X2007" t="s">
        <v>6288</v>
      </c>
      <c r="Y2007" t="s">
        <v>247</v>
      </c>
      <c r="Z2007" t="s">
        <v>73</v>
      </c>
      <c r="AA2007" t="str">
        <f>"14227-1104"</f>
        <v>14227-1104</v>
      </c>
      <c r="AB2007" t="s">
        <v>74</v>
      </c>
      <c r="AC2007" t="s">
        <v>75</v>
      </c>
      <c r="AD2007" t="s">
        <v>72</v>
      </c>
      <c r="AE2007" t="s">
        <v>76</v>
      </c>
      <c r="AF2007" t="s">
        <v>3961</v>
      </c>
      <c r="AG2007" t="s">
        <v>77</v>
      </c>
    </row>
    <row r="2008" spans="1:33" x14ac:dyDescent="0.25">
      <c r="A2008" t="str">
        <f>"1972568434"</f>
        <v>1972568434</v>
      </c>
      <c r="B2008" t="str">
        <f>"01952189"</f>
        <v>01952189</v>
      </c>
      <c r="C2008" t="s">
        <v>10484</v>
      </c>
      <c r="D2008" t="s">
        <v>10485</v>
      </c>
      <c r="E2008" t="s">
        <v>10486</v>
      </c>
      <c r="L2008" t="s">
        <v>71</v>
      </c>
      <c r="M2008" t="s">
        <v>72</v>
      </c>
      <c r="R2008" t="s">
        <v>10487</v>
      </c>
      <c r="W2008" t="s">
        <v>10488</v>
      </c>
      <c r="X2008" t="s">
        <v>839</v>
      </c>
      <c r="Y2008" t="s">
        <v>237</v>
      </c>
      <c r="Z2008" t="s">
        <v>73</v>
      </c>
      <c r="AA2008" t="str">
        <f>"14224-3400"</f>
        <v>14224-3400</v>
      </c>
      <c r="AB2008" t="s">
        <v>74</v>
      </c>
      <c r="AC2008" t="s">
        <v>75</v>
      </c>
      <c r="AD2008" t="s">
        <v>72</v>
      </c>
      <c r="AE2008" t="s">
        <v>76</v>
      </c>
      <c r="AF2008" t="s">
        <v>3974</v>
      </c>
      <c r="AG2008" t="s">
        <v>77</v>
      </c>
    </row>
    <row r="2009" spans="1:33" x14ac:dyDescent="0.25">
      <c r="A2009" t="str">
        <f>"1023410461"</f>
        <v>1023410461</v>
      </c>
      <c r="B2009" t="str">
        <f>"03989475"</f>
        <v>03989475</v>
      </c>
      <c r="C2009" t="s">
        <v>10489</v>
      </c>
      <c r="D2009" t="s">
        <v>3912</v>
      </c>
      <c r="E2009" t="s">
        <v>3913</v>
      </c>
      <c r="L2009" t="s">
        <v>79</v>
      </c>
      <c r="M2009" t="s">
        <v>72</v>
      </c>
      <c r="R2009" t="s">
        <v>3911</v>
      </c>
      <c r="W2009" t="s">
        <v>3913</v>
      </c>
      <c r="AB2009" t="s">
        <v>74</v>
      </c>
      <c r="AC2009" t="s">
        <v>75</v>
      </c>
      <c r="AD2009" t="s">
        <v>72</v>
      </c>
      <c r="AE2009" t="s">
        <v>76</v>
      </c>
      <c r="AF2009" t="s">
        <v>4043</v>
      </c>
      <c r="AG2009" t="s">
        <v>77</v>
      </c>
    </row>
    <row r="2010" spans="1:33" x14ac:dyDescent="0.25">
      <c r="A2010" t="str">
        <f>"1417058298"</f>
        <v>1417058298</v>
      </c>
      <c r="B2010" t="str">
        <f>"03046279"</f>
        <v>03046279</v>
      </c>
      <c r="C2010" t="s">
        <v>10490</v>
      </c>
      <c r="D2010" t="s">
        <v>10491</v>
      </c>
      <c r="E2010" t="s">
        <v>10492</v>
      </c>
      <c r="L2010" t="s">
        <v>79</v>
      </c>
      <c r="M2010" t="s">
        <v>72</v>
      </c>
      <c r="R2010" t="s">
        <v>10493</v>
      </c>
      <c r="W2010" t="s">
        <v>10494</v>
      </c>
      <c r="X2010" t="s">
        <v>10495</v>
      </c>
      <c r="Y2010" t="s">
        <v>127</v>
      </c>
      <c r="Z2010" t="s">
        <v>73</v>
      </c>
      <c r="AA2010" t="str">
        <f>"12603-1837"</f>
        <v>12603-1837</v>
      </c>
      <c r="AB2010" t="s">
        <v>74</v>
      </c>
      <c r="AC2010" t="s">
        <v>75</v>
      </c>
      <c r="AD2010" t="s">
        <v>72</v>
      </c>
      <c r="AE2010" t="s">
        <v>76</v>
      </c>
      <c r="AF2010" t="s">
        <v>3961</v>
      </c>
      <c r="AG2010" t="s">
        <v>77</v>
      </c>
    </row>
    <row r="2011" spans="1:33" x14ac:dyDescent="0.25">
      <c r="A2011" t="str">
        <f>"1003249269"</f>
        <v>1003249269</v>
      </c>
      <c r="C2011" t="s">
        <v>10496</v>
      </c>
      <c r="K2011" t="s">
        <v>89</v>
      </c>
      <c r="L2011" t="s">
        <v>71</v>
      </c>
      <c r="M2011" t="s">
        <v>72</v>
      </c>
      <c r="R2011" t="s">
        <v>10497</v>
      </c>
      <c r="S2011" t="s">
        <v>10498</v>
      </c>
      <c r="T2011" t="s">
        <v>326</v>
      </c>
      <c r="U2011" t="s">
        <v>73</v>
      </c>
      <c r="V2011" t="str">
        <f>"141271239"</f>
        <v>141271239</v>
      </c>
      <c r="AC2011" t="s">
        <v>75</v>
      </c>
      <c r="AD2011" t="s">
        <v>72</v>
      </c>
      <c r="AE2011" t="s">
        <v>93</v>
      </c>
      <c r="AF2011" t="s">
        <v>3974</v>
      </c>
      <c r="AG2011" t="s">
        <v>77</v>
      </c>
    </row>
    <row r="2012" spans="1:33" x14ac:dyDescent="0.25">
      <c r="A2012" t="str">
        <f>"1881678597"</f>
        <v>1881678597</v>
      </c>
      <c r="B2012" t="str">
        <f>"02505911"</f>
        <v>02505911</v>
      </c>
      <c r="C2012" t="s">
        <v>10499</v>
      </c>
      <c r="D2012" t="s">
        <v>10500</v>
      </c>
      <c r="E2012" t="s">
        <v>10501</v>
      </c>
      <c r="L2012" t="s">
        <v>79</v>
      </c>
      <c r="M2012" t="s">
        <v>72</v>
      </c>
      <c r="R2012" t="s">
        <v>10502</v>
      </c>
      <c r="W2012" t="s">
        <v>10501</v>
      </c>
      <c r="X2012" t="s">
        <v>10501</v>
      </c>
      <c r="Y2012" t="s">
        <v>1079</v>
      </c>
      <c r="Z2012" t="s">
        <v>73</v>
      </c>
      <c r="AA2012" t="str">
        <f>"14075-3709"</f>
        <v>14075-3709</v>
      </c>
      <c r="AB2012" t="s">
        <v>74</v>
      </c>
      <c r="AC2012" t="s">
        <v>75</v>
      </c>
      <c r="AD2012" t="s">
        <v>72</v>
      </c>
      <c r="AE2012" t="s">
        <v>76</v>
      </c>
      <c r="AF2012" t="s">
        <v>3961</v>
      </c>
      <c r="AG2012" t="s">
        <v>77</v>
      </c>
    </row>
    <row r="2013" spans="1:33" x14ac:dyDescent="0.25">
      <c r="A2013" t="str">
        <f>"1518937903"</f>
        <v>1518937903</v>
      </c>
      <c r="B2013" t="str">
        <f>"01798801"</f>
        <v>01798801</v>
      </c>
      <c r="C2013" t="s">
        <v>10503</v>
      </c>
      <c r="D2013" t="s">
        <v>10504</v>
      </c>
      <c r="E2013" t="s">
        <v>10505</v>
      </c>
      <c r="L2013" t="s">
        <v>79</v>
      </c>
      <c r="M2013" t="s">
        <v>72</v>
      </c>
      <c r="R2013" t="s">
        <v>10506</v>
      </c>
      <c r="W2013" t="s">
        <v>10505</v>
      </c>
      <c r="X2013" t="s">
        <v>6038</v>
      </c>
      <c r="Y2013" t="s">
        <v>247</v>
      </c>
      <c r="Z2013" t="s">
        <v>73</v>
      </c>
      <c r="AA2013" t="str">
        <f>"14227-2379"</f>
        <v>14227-2379</v>
      </c>
      <c r="AB2013" t="s">
        <v>74</v>
      </c>
      <c r="AC2013" t="s">
        <v>75</v>
      </c>
      <c r="AD2013" t="s">
        <v>72</v>
      </c>
      <c r="AE2013" t="s">
        <v>76</v>
      </c>
      <c r="AG2013" t="s">
        <v>77</v>
      </c>
    </row>
    <row r="2014" spans="1:33" x14ac:dyDescent="0.25">
      <c r="A2014" t="str">
        <f>"1235142860"</f>
        <v>1235142860</v>
      </c>
      <c r="B2014" t="str">
        <f>"03284195"</f>
        <v>03284195</v>
      </c>
      <c r="C2014" t="s">
        <v>10507</v>
      </c>
      <c r="D2014" t="s">
        <v>10508</v>
      </c>
      <c r="E2014" t="s">
        <v>10509</v>
      </c>
      <c r="L2014" t="s">
        <v>79</v>
      </c>
      <c r="M2014" t="s">
        <v>72</v>
      </c>
      <c r="R2014" t="s">
        <v>10510</v>
      </c>
      <c r="W2014" t="s">
        <v>10511</v>
      </c>
      <c r="X2014" t="s">
        <v>6008</v>
      </c>
      <c r="Y2014" t="s">
        <v>237</v>
      </c>
      <c r="Z2014" t="s">
        <v>73</v>
      </c>
      <c r="AA2014" t="str">
        <f>"14224-1151"</f>
        <v>14224-1151</v>
      </c>
      <c r="AB2014" t="s">
        <v>74</v>
      </c>
      <c r="AC2014" t="s">
        <v>75</v>
      </c>
      <c r="AD2014" t="s">
        <v>72</v>
      </c>
      <c r="AE2014" t="s">
        <v>76</v>
      </c>
      <c r="AF2014" t="s">
        <v>3974</v>
      </c>
      <c r="AG2014" t="s">
        <v>77</v>
      </c>
    </row>
    <row r="2015" spans="1:33" x14ac:dyDescent="0.25">
      <c r="A2015" t="str">
        <f>"1861536039"</f>
        <v>1861536039</v>
      </c>
      <c r="B2015" t="str">
        <f>"02777640"</f>
        <v>02777640</v>
      </c>
      <c r="C2015" t="s">
        <v>10512</v>
      </c>
      <c r="D2015" t="s">
        <v>10513</v>
      </c>
      <c r="E2015" t="s">
        <v>10514</v>
      </c>
      <c r="L2015" t="s">
        <v>79</v>
      </c>
      <c r="M2015" t="s">
        <v>72</v>
      </c>
      <c r="R2015" t="s">
        <v>10515</v>
      </c>
      <c r="W2015" t="s">
        <v>10516</v>
      </c>
      <c r="X2015" t="s">
        <v>301</v>
      </c>
      <c r="Y2015" t="s">
        <v>117</v>
      </c>
      <c r="Z2015" t="s">
        <v>73</v>
      </c>
      <c r="AA2015" t="str">
        <f>"14214-2648"</f>
        <v>14214-2648</v>
      </c>
      <c r="AB2015" t="s">
        <v>74</v>
      </c>
      <c r="AC2015" t="s">
        <v>75</v>
      </c>
      <c r="AD2015" t="s">
        <v>72</v>
      </c>
      <c r="AE2015" t="s">
        <v>76</v>
      </c>
      <c r="AF2015" t="s">
        <v>3961</v>
      </c>
      <c r="AG2015" t="s">
        <v>77</v>
      </c>
    </row>
    <row r="2016" spans="1:33" x14ac:dyDescent="0.25">
      <c r="A2016" t="str">
        <f>"1598750440"</f>
        <v>1598750440</v>
      </c>
      <c r="B2016" t="str">
        <f>"04382665"</f>
        <v>04382665</v>
      </c>
      <c r="C2016" t="s">
        <v>10517</v>
      </c>
      <c r="D2016" t="s">
        <v>10518</v>
      </c>
      <c r="E2016" t="s">
        <v>10519</v>
      </c>
      <c r="L2016" t="s">
        <v>71</v>
      </c>
      <c r="M2016" t="s">
        <v>72</v>
      </c>
      <c r="R2016" t="s">
        <v>10519</v>
      </c>
      <c r="W2016" t="s">
        <v>10519</v>
      </c>
      <c r="X2016" t="s">
        <v>1209</v>
      </c>
      <c r="Y2016" t="s">
        <v>237</v>
      </c>
      <c r="Z2016" t="s">
        <v>73</v>
      </c>
      <c r="AA2016" t="str">
        <f>"14224-3444"</f>
        <v>14224-3444</v>
      </c>
      <c r="AB2016" t="s">
        <v>74</v>
      </c>
      <c r="AC2016" t="s">
        <v>75</v>
      </c>
      <c r="AD2016" t="s">
        <v>72</v>
      </c>
      <c r="AE2016" t="s">
        <v>76</v>
      </c>
      <c r="AF2016" t="s">
        <v>3974</v>
      </c>
      <c r="AG2016" t="s">
        <v>77</v>
      </c>
    </row>
    <row r="2017" spans="1:33" x14ac:dyDescent="0.25">
      <c r="A2017" t="str">
        <f>"1831177344"</f>
        <v>1831177344</v>
      </c>
      <c r="B2017" t="str">
        <f>"02343451"</f>
        <v>02343451</v>
      </c>
      <c r="C2017" t="s">
        <v>10520</v>
      </c>
      <c r="D2017" t="s">
        <v>10521</v>
      </c>
      <c r="E2017" t="s">
        <v>10522</v>
      </c>
      <c r="L2017" t="s">
        <v>79</v>
      </c>
      <c r="M2017" t="s">
        <v>72</v>
      </c>
      <c r="R2017" t="s">
        <v>10523</v>
      </c>
      <c r="W2017" t="s">
        <v>10522</v>
      </c>
      <c r="X2017" t="s">
        <v>3776</v>
      </c>
      <c r="Y2017" t="s">
        <v>237</v>
      </c>
      <c r="Z2017" t="s">
        <v>73</v>
      </c>
      <c r="AA2017" t="str">
        <f>"14224-3445"</f>
        <v>14224-3445</v>
      </c>
      <c r="AB2017" t="s">
        <v>74</v>
      </c>
      <c r="AC2017" t="s">
        <v>75</v>
      </c>
      <c r="AD2017" t="s">
        <v>72</v>
      </c>
      <c r="AE2017" t="s">
        <v>76</v>
      </c>
      <c r="AF2017" t="s">
        <v>3974</v>
      </c>
      <c r="AG2017" t="s">
        <v>77</v>
      </c>
    </row>
    <row r="2018" spans="1:33" x14ac:dyDescent="0.25">
      <c r="A2018" t="str">
        <f>"1689998296"</f>
        <v>1689998296</v>
      </c>
      <c r="B2018" t="str">
        <f>"03272795"</f>
        <v>03272795</v>
      </c>
      <c r="C2018" t="s">
        <v>10524</v>
      </c>
      <c r="D2018" t="s">
        <v>10525</v>
      </c>
      <c r="E2018" t="s">
        <v>10526</v>
      </c>
      <c r="L2018" t="s">
        <v>79</v>
      </c>
      <c r="M2018" t="s">
        <v>72</v>
      </c>
      <c r="R2018" t="s">
        <v>10527</v>
      </c>
      <c r="W2018" t="s">
        <v>10526</v>
      </c>
      <c r="X2018" t="s">
        <v>385</v>
      </c>
      <c r="Y2018" t="s">
        <v>228</v>
      </c>
      <c r="Z2018" t="s">
        <v>73</v>
      </c>
      <c r="AA2018" t="str">
        <f>"14226-1738"</f>
        <v>14226-1738</v>
      </c>
      <c r="AB2018" t="s">
        <v>74</v>
      </c>
      <c r="AC2018" t="s">
        <v>75</v>
      </c>
      <c r="AD2018" t="s">
        <v>72</v>
      </c>
      <c r="AE2018" t="s">
        <v>76</v>
      </c>
      <c r="AF2018" t="s">
        <v>3974</v>
      </c>
      <c r="AG2018" t="s">
        <v>77</v>
      </c>
    </row>
    <row r="2019" spans="1:33" x14ac:dyDescent="0.25">
      <c r="A2019" t="str">
        <f>"1285055244"</f>
        <v>1285055244</v>
      </c>
      <c r="B2019" t="str">
        <f>"04169655"</f>
        <v>04169655</v>
      </c>
      <c r="C2019" t="s">
        <v>10528</v>
      </c>
      <c r="D2019" t="s">
        <v>10529</v>
      </c>
      <c r="E2019" t="s">
        <v>10530</v>
      </c>
      <c r="L2019" t="s">
        <v>79</v>
      </c>
      <c r="M2019" t="s">
        <v>72</v>
      </c>
      <c r="R2019" t="s">
        <v>10531</v>
      </c>
      <c r="W2019" t="s">
        <v>10530</v>
      </c>
      <c r="X2019" t="s">
        <v>341</v>
      </c>
      <c r="Y2019" t="s">
        <v>111</v>
      </c>
      <c r="Z2019" t="s">
        <v>73</v>
      </c>
      <c r="AA2019" t="str">
        <f>"14623-2532"</f>
        <v>14623-2532</v>
      </c>
      <c r="AB2019" t="s">
        <v>74</v>
      </c>
      <c r="AC2019" t="s">
        <v>75</v>
      </c>
      <c r="AD2019" t="s">
        <v>72</v>
      </c>
      <c r="AE2019" t="s">
        <v>76</v>
      </c>
      <c r="AF2019" t="s">
        <v>3961</v>
      </c>
      <c r="AG2019" t="s">
        <v>77</v>
      </c>
    </row>
    <row r="2020" spans="1:33" x14ac:dyDescent="0.25">
      <c r="A2020" t="str">
        <f>"1568627339"</f>
        <v>1568627339</v>
      </c>
      <c r="B2020" t="str">
        <f>"03082919"</f>
        <v>03082919</v>
      </c>
      <c r="C2020" t="s">
        <v>10532</v>
      </c>
      <c r="D2020" t="s">
        <v>10533</v>
      </c>
      <c r="E2020" t="s">
        <v>10534</v>
      </c>
      <c r="L2020" t="s">
        <v>79</v>
      </c>
      <c r="M2020" t="s">
        <v>72</v>
      </c>
      <c r="R2020" t="s">
        <v>10535</v>
      </c>
      <c r="W2020" t="s">
        <v>10536</v>
      </c>
      <c r="X2020" t="s">
        <v>566</v>
      </c>
      <c r="Y2020" t="s">
        <v>247</v>
      </c>
      <c r="Z2020" t="s">
        <v>73</v>
      </c>
      <c r="AA2020" t="str">
        <f>"14225-2591"</f>
        <v>14225-2591</v>
      </c>
      <c r="AB2020" t="s">
        <v>74</v>
      </c>
      <c r="AC2020" t="s">
        <v>75</v>
      </c>
      <c r="AD2020" t="s">
        <v>72</v>
      </c>
      <c r="AE2020" t="s">
        <v>76</v>
      </c>
      <c r="AF2020" t="s">
        <v>3974</v>
      </c>
      <c r="AG2020" t="s">
        <v>77</v>
      </c>
    </row>
    <row r="2021" spans="1:33" x14ac:dyDescent="0.25">
      <c r="A2021" t="str">
        <f>"1902836604"</f>
        <v>1902836604</v>
      </c>
      <c r="C2021" t="s">
        <v>10537</v>
      </c>
      <c r="K2021" t="s">
        <v>89</v>
      </c>
      <c r="L2021" t="s">
        <v>71</v>
      </c>
      <c r="M2021" t="s">
        <v>72</v>
      </c>
      <c r="R2021" t="s">
        <v>903</v>
      </c>
      <c r="S2021" t="s">
        <v>904</v>
      </c>
      <c r="T2021" t="s">
        <v>221</v>
      </c>
      <c r="U2021" t="s">
        <v>73</v>
      </c>
      <c r="V2021" t="str">
        <f>"14221"</f>
        <v>14221</v>
      </c>
      <c r="AC2021" t="s">
        <v>75</v>
      </c>
      <c r="AD2021" t="s">
        <v>72</v>
      </c>
      <c r="AE2021" t="s">
        <v>93</v>
      </c>
      <c r="AF2021" t="s">
        <v>3974</v>
      </c>
      <c r="AG2021" t="s">
        <v>77</v>
      </c>
    </row>
    <row r="2022" spans="1:33" x14ac:dyDescent="0.25">
      <c r="A2022" t="str">
        <f>"1932171659"</f>
        <v>1932171659</v>
      </c>
      <c r="B2022" t="str">
        <f>"01271223"</f>
        <v>01271223</v>
      </c>
      <c r="C2022" t="s">
        <v>10538</v>
      </c>
      <c r="D2022" t="s">
        <v>10539</v>
      </c>
      <c r="E2022" t="s">
        <v>10540</v>
      </c>
      <c r="L2022" t="s">
        <v>79</v>
      </c>
      <c r="M2022" t="s">
        <v>72</v>
      </c>
      <c r="R2022" t="s">
        <v>10541</v>
      </c>
      <c r="W2022" t="s">
        <v>10540</v>
      </c>
      <c r="X2022" t="s">
        <v>243</v>
      </c>
      <c r="Y2022" t="s">
        <v>117</v>
      </c>
      <c r="Z2022" t="s">
        <v>73</v>
      </c>
      <c r="AA2022" t="str">
        <f>"14203-1126"</f>
        <v>14203-1126</v>
      </c>
      <c r="AB2022" t="s">
        <v>74</v>
      </c>
      <c r="AC2022" t="s">
        <v>75</v>
      </c>
      <c r="AD2022" t="s">
        <v>72</v>
      </c>
      <c r="AE2022" t="s">
        <v>76</v>
      </c>
      <c r="AF2022" t="s">
        <v>3974</v>
      </c>
      <c r="AG2022" t="s">
        <v>77</v>
      </c>
    </row>
    <row r="2023" spans="1:33" x14ac:dyDescent="0.25">
      <c r="A2023" t="str">
        <f>"1154408136"</f>
        <v>1154408136</v>
      </c>
      <c r="B2023" t="str">
        <f>"02202239"</f>
        <v>02202239</v>
      </c>
      <c r="C2023" t="s">
        <v>10542</v>
      </c>
      <c r="D2023" t="s">
        <v>3915</v>
      </c>
      <c r="E2023" t="s">
        <v>3916</v>
      </c>
      <c r="L2023" t="s">
        <v>80</v>
      </c>
      <c r="M2023" t="s">
        <v>72</v>
      </c>
      <c r="R2023" t="s">
        <v>3914</v>
      </c>
      <c r="W2023" t="s">
        <v>3916</v>
      </c>
      <c r="X2023" t="s">
        <v>3917</v>
      </c>
      <c r="Y2023" t="s">
        <v>3918</v>
      </c>
      <c r="Z2023" t="s">
        <v>73</v>
      </c>
      <c r="AA2023" t="str">
        <f>"14080-9711"</f>
        <v>14080-9711</v>
      </c>
      <c r="AB2023" t="s">
        <v>74</v>
      </c>
      <c r="AC2023" t="s">
        <v>75</v>
      </c>
      <c r="AD2023" t="s">
        <v>72</v>
      </c>
      <c r="AE2023" t="s">
        <v>76</v>
      </c>
      <c r="AF2023" t="s">
        <v>3961</v>
      </c>
      <c r="AG2023" t="s">
        <v>77</v>
      </c>
    </row>
    <row r="2024" spans="1:33" x14ac:dyDescent="0.25">
      <c r="A2024" t="str">
        <f>"1821226085"</f>
        <v>1821226085</v>
      </c>
      <c r="B2024" t="str">
        <f>"03121359"</f>
        <v>03121359</v>
      </c>
      <c r="C2024" t="s">
        <v>10543</v>
      </c>
      <c r="D2024" t="s">
        <v>10544</v>
      </c>
      <c r="E2024" t="s">
        <v>10545</v>
      </c>
      <c r="L2024" t="s">
        <v>80</v>
      </c>
      <c r="M2024" t="s">
        <v>72</v>
      </c>
      <c r="R2024" t="s">
        <v>10546</v>
      </c>
      <c r="W2024" t="s">
        <v>10547</v>
      </c>
      <c r="X2024" t="s">
        <v>10153</v>
      </c>
      <c r="Y2024" t="s">
        <v>247</v>
      </c>
      <c r="Z2024" t="s">
        <v>73</v>
      </c>
      <c r="AA2024" t="str">
        <f>"14225-4031"</f>
        <v>14225-4031</v>
      </c>
      <c r="AB2024" t="s">
        <v>74</v>
      </c>
      <c r="AC2024" t="s">
        <v>75</v>
      </c>
      <c r="AD2024" t="s">
        <v>72</v>
      </c>
      <c r="AE2024" t="s">
        <v>76</v>
      </c>
      <c r="AF2024" t="s">
        <v>4431</v>
      </c>
      <c r="AG2024" t="s">
        <v>77</v>
      </c>
    </row>
    <row r="2025" spans="1:33" x14ac:dyDescent="0.25">
      <c r="A2025" t="str">
        <f>"1164441564"</f>
        <v>1164441564</v>
      </c>
      <c r="B2025" t="str">
        <f>"02629505"</f>
        <v>02629505</v>
      </c>
      <c r="C2025" t="s">
        <v>10548</v>
      </c>
      <c r="D2025" t="s">
        <v>10549</v>
      </c>
      <c r="E2025" t="s">
        <v>10550</v>
      </c>
      <c r="L2025" t="s">
        <v>80</v>
      </c>
      <c r="M2025" t="s">
        <v>72</v>
      </c>
      <c r="R2025" t="s">
        <v>10551</v>
      </c>
      <c r="W2025" t="s">
        <v>10552</v>
      </c>
      <c r="X2025" t="s">
        <v>10153</v>
      </c>
      <c r="Y2025" t="s">
        <v>247</v>
      </c>
      <c r="Z2025" t="s">
        <v>73</v>
      </c>
      <c r="AA2025" t="str">
        <f>"14225-4031"</f>
        <v>14225-4031</v>
      </c>
      <c r="AB2025" t="s">
        <v>74</v>
      </c>
      <c r="AC2025" t="s">
        <v>75</v>
      </c>
      <c r="AD2025" t="s">
        <v>72</v>
      </c>
      <c r="AE2025" t="s">
        <v>76</v>
      </c>
      <c r="AF2025" t="s">
        <v>4431</v>
      </c>
      <c r="AG2025" t="s">
        <v>77</v>
      </c>
    </row>
    <row r="2026" spans="1:33" x14ac:dyDescent="0.25">
      <c r="A2026" t="str">
        <f>"1568646909"</f>
        <v>1568646909</v>
      </c>
      <c r="B2026" t="str">
        <f>"02972154"</f>
        <v>02972154</v>
      </c>
      <c r="C2026" t="s">
        <v>10553</v>
      </c>
      <c r="D2026" t="s">
        <v>1121</v>
      </c>
      <c r="E2026" t="s">
        <v>1122</v>
      </c>
      <c r="L2026" t="s">
        <v>71</v>
      </c>
      <c r="M2026" t="s">
        <v>72</v>
      </c>
      <c r="R2026" t="s">
        <v>1124</v>
      </c>
      <c r="W2026" t="s">
        <v>1125</v>
      </c>
      <c r="X2026" t="s">
        <v>1126</v>
      </c>
      <c r="Y2026" t="s">
        <v>247</v>
      </c>
      <c r="Z2026" t="s">
        <v>73</v>
      </c>
      <c r="AA2026" t="str">
        <f>"14227-1443"</f>
        <v>14227-1443</v>
      </c>
      <c r="AB2026" t="s">
        <v>74</v>
      </c>
      <c r="AC2026" t="s">
        <v>75</v>
      </c>
      <c r="AD2026" t="s">
        <v>72</v>
      </c>
      <c r="AE2026" t="s">
        <v>76</v>
      </c>
      <c r="AF2026" t="s">
        <v>3974</v>
      </c>
      <c r="AG2026" t="s">
        <v>77</v>
      </c>
    </row>
    <row r="2027" spans="1:33" x14ac:dyDescent="0.25">
      <c r="A2027" t="str">
        <f>"1790848489"</f>
        <v>1790848489</v>
      </c>
      <c r="B2027" t="str">
        <f>"02632240"</f>
        <v>02632240</v>
      </c>
      <c r="C2027" t="s">
        <v>10554</v>
      </c>
      <c r="D2027" t="s">
        <v>10555</v>
      </c>
      <c r="E2027" t="s">
        <v>10556</v>
      </c>
      <c r="L2027" t="s">
        <v>71</v>
      </c>
      <c r="M2027" t="s">
        <v>72</v>
      </c>
      <c r="R2027" t="s">
        <v>10557</v>
      </c>
      <c r="W2027" t="s">
        <v>10556</v>
      </c>
      <c r="X2027" t="s">
        <v>10558</v>
      </c>
      <c r="Y2027" t="s">
        <v>228</v>
      </c>
      <c r="Z2027" t="s">
        <v>73</v>
      </c>
      <c r="AA2027" t="str">
        <f>"14226-1727"</f>
        <v>14226-1727</v>
      </c>
      <c r="AB2027" t="s">
        <v>74</v>
      </c>
      <c r="AC2027" t="s">
        <v>75</v>
      </c>
      <c r="AD2027" t="s">
        <v>72</v>
      </c>
      <c r="AE2027" t="s">
        <v>76</v>
      </c>
      <c r="AF2027" t="s">
        <v>3974</v>
      </c>
      <c r="AG2027" t="s">
        <v>77</v>
      </c>
    </row>
    <row r="2028" spans="1:33" x14ac:dyDescent="0.25">
      <c r="A2028" t="str">
        <f>"1245306729"</f>
        <v>1245306729</v>
      </c>
      <c r="B2028" t="str">
        <f>"03184934"</f>
        <v>03184934</v>
      </c>
      <c r="C2028" t="s">
        <v>10559</v>
      </c>
      <c r="D2028" t="s">
        <v>1854</v>
      </c>
      <c r="E2028" t="s">
        <v>1855</v>
      </c>
      <c r="L2028" t="s">
        <v>71</v>
      </c>
      <c r="M2028" t="s">
        <v>72</v>
      </c>
      <c r="R2028" t="s">
        <v>1856</v>
      </c>
      <c r="W2028" t="s">
        <v>1855</v>
      </c>
      <c r="X2028" t="s">
        <v>1070</v>
      </c>
      <c r="Y2028" t="s">
        <v>221</v>
      </c>
      <c r="Z2028" t="s">
        <v>73</v>
      </c>
      <c r="AA2028" t="str">
        <f>"14221-5838"</f>
        <v>14221-5838</v>
      </c>
      <c r="AB2028" t="s">
        <v>74</v>
      </c>
      <c r="AC2028" t="s">
        <v>75</v>
      </c>
      <c r="AD2028" t="s">
        <v>72</v>
      </c>
      <c r="AE2028" t="s">
        <v>76</v>
      </c>
      <c r="AF2028" t="s">
        <v>3974</v>
      </c>
      <c r="AG2028" t="s">
        <v>77</v>
      </c>
    </row>
    <row r="2029" spans="1:33" x14ac:dyDescent="0.25">
      <c r="A2029" t="str">
        <f>"1831505148"</f>
        <v>1831505148</v>
      </c>
      <c r="B2029" t="str">
        <f>"03957820"</f>
        <v>03957820</v>
      </c>
      <c r="C2029" t="s">
        <v>10560</v>
      </c>
      <c r="D2029" t="s">
        <v>10561</v>
      </c>
      <c r="E2029" t="s">
        <v>10562</v>
      </c>
      <c r="L2029" t="s">
        <v>71</v>
      </c>
      <c r="M2029" t="s">
        <v>72</v>
      </c>
      <c r="R2029" t="s">
        <v>10562</v>
      </c>
      <c r="W2029" t="s">
        <v>10563</v>
      </c>
      <c r="X2029" t="s">
        <v>2840</v>
      </c>
      <c r="Y2029" t="s">
        <v>326</v>
      </c>
      <c r="Z2029" t="s">
        <v>73</v>
      </c>
      <c r="AA2029" t="str">
        <f>"14127-1577"</f>
        <v>14127-1577</v>
      </c>
      <c r="AB2029" t="s">
        <v>74</v>
      </c>
      <c r="AC2029" t="s">
        <v>75</v>
      </c>
      <c r="AD2029" t="s">
        <v>72</v>
      </c>
      <c r="AE2029" t="s">
        <v>76</v>
      </c>
      <c r="AF2029" t="s">
        <v>4043</v>
      </c>
      <c r="AG2029" t="s">
        <v>77</v>
      </c>
    </row>
    <row r="2030" spans="1:33" x14ac:dyDescent="0.25">
      <c r="A2030" t="str">
        <f>"1093776833"</f>
        <v>1093776833</v>
      </c>
      <c r="B2030" t="str">
        <f>"02730683"</f>
        <v>02730683</v>
      </c>
      <c r="C2030" t="s">
        <v>10564</v>
      </c>
      <c r="D2030" t="s">
        <v>10565</v>
      </c>
      <c r="E2030" t="s">
        <v>10566</v>
      </c>
      <c r="L2030" t="s">
        <v>71</v>
      </c>
      <c r="M2030" t="s">
        <v>72</v>
      </c>
      <c r="R2030" t="s">
        <v>10567</v>
      </c>
      <c r="W2030" t="s">
        <v>10566</v>
      </c>
      <c r="X2030" t="s">
        <v>1684</v>
      </c>
      <c r="Y2030" t="s">
        <v>247</v>
      </c>
      <c r="Z2030" t="s">
        <v>73</v>
      </c>
      <c r="AA2030" t="str">
        <f>"14225-4031"</f>
        <v>14225-4031</v>
      </c>
      <c r="AB2030" t="s">
        <v>74</v>
      </c>
      <c r="AC2030" t="s">
        <v>75</v>
      </c>
      <c r="AD2030" t="s">
        <v>72</v>
      </c>
      <c r="AE2030" t="s">
        <v>76</v>
      </c>
      <c r="AF2030" t="s">
        <v>3974</v>
      </c>
      <c r="AG2030" t="s">
        <v>77</v>
      </c>
    </row>
    <row r="2031" spans="1:33" x14ac:dyDescent="0.25">
      <c r="A2031" t="str">
        <f>"1154327583"</f>
        <v>1154327583</v>
      </c>
      <c r="B2031" t="str">
        <f>"02345155"</f>
        <v>02345155</v>
      </c>
      <c r="C2031" t="s">
        <v>10568</v>
      </c>
      <c r="D2031" t="s">
        <v>10569</v>
      </c>
      <c r="E2031" t="s">
        <v>10570</v>
      </c>
      <c r="L2031" t="s">
        <v>79</v>
      </c>
      <c r="M2031" t="s">
        <v>72</v>
      </c>
      <c r="R2031" t="s">
        <v>10571</v>
      </c>
      <c r="W2031" t="s">
        <v>10570</v>
      </c>
      <c r="X2031" t="s">
        <v>10572</v>
      </c>
      <c r="Y2031" t="s">
        <v>503</v>
      </c>
      <c r="Z2031" t="s">
        <v>73</v>
      </c>
      <c r="AA2031" t="str">
        <f>"14009-1113"</f>
        <v>14009-1113</v>
      </c>
      <c r="AB2031" t="s">
        <v>74</v>
      </c>
      <c r="AC2031" t="s">
        <v>75</v>
      </c>
      <c r="AD2031" t="s">
        <v>72</v>
      </c>
      <c r="AE2031" t="s">
        <v>76</v>
      </c>
      <c r="AF2031" t="s">
        <v>3961</v>
      </c>
      <c r="AG2031" t="s">
        <v>77</v>
      </c>
    </row>
    <row r="2032" spans="1:33" x14ac:dyDescent="0.25">
      <c r="A2032" t="str">
        <f>"1770707689"</f>
        <v>1770707689</v>
      </c>
      <c r="B2032" t="str">
        <f>"02892831"</f>
        <v>02892831</v>
      </c>
      <c r="C2032" t="s">
        <v>10573</v>
      </c>
      <c r="D2032" t="s">
        <v>3832</v>
      </c>
      <c r="E2032" t="s">
        <v>3833</v>
      </c>
      <c r="L2032" t="s">
        <v>79</v>
      </c>
      <c r="M2032" t="s">
        <v>72</v>
      </c>
      <c r="R2032" t="s">
        <v>3834</v>
      </c>
      <c r="W2032" t="s">
        <v>3833</v>
      </c>
      <c r="AB2032" t="s">
        <v>74</v>
      </c>
      <c r="AC2032" t="s">
        <v>75</v>
      </c>
      <c r="AD2032" t="s">
        <v>72</v>
      </c>
      <c r="AE2032" t="s">
        <v>76</v>
      </c>
      <c r="AF2032" t="s">
        <v>3961</v>
      </c>
      <c r="AG2032" t="s">
        <v>77</v>
      </c>
    </row>
    <row r="2033" spans="1:33" x14ac:dyDescent="0.25">
      <c r="A2033" t="str">
        <f>"1811129315"</f>
        <v>1811129315</v>
      </c>
      <c r="B2033" t="str">
        <f>"03160010"</f>
        <v>03160010</v>
      </c>
      <c r="C2033" t="s">
        <v>10574</v>
      </c>
      <c r="D2033" t="s">
        <v>10575</v>
      </c>
      <c r="E2033" t="s">
        <v>10576</v>
      </c>
      <c r="L2033" t="s">
        <v>79</v>
      </c>
      <c r="M2033" t="s">
        <v>72</v>
      </c>
      <c r="R2033" t="s">
        <v>10577</v>
      </c>
      <c r="W2033" t="s">
        <v>10578</v>
      </c>
      <c r="X2033" t="s">
        <v>1087</v>
      </c>
      <c r="Y2033" t="s">
        <v>326</v>
      </c>
      <c r="Z2033" t="s">
        <v>73</v>
      </c>
      <c r="AA2033" t="str">
        <f>"14127-1963"</f>
        <v>14127-1963</v>
      </c>
      <c r="AB2033" t="s">
        <v>74</v>
      </c>
      <c r="AC2033" t="s">
        <v>75</v>
      </c>
      <c r="AD2033" t="s">
        <v>72</v>
      </c>
      <c r="AE2033" t="s">
        <v>76</v>
      </c>
      <c r="AF2033" t="s">
        <v>3961</v>
      </c>
      <c r="AG2033" t="s">
        <v>77</v>
      </c>
    </row>
    <row r="2034" spans="1:33" x14ac:dyDescent="0.25">
      <c r="A2034" t="str">
        <f>"1528040482"</f>
        <v>1528040482</v>
      </c>
      <c r="B2034" t="str">
        <f>"02287061"</f>
        <v>02287061</v>
      </c>
      <c r="C2034" t="s">
        <v>10579</v>
      </c>
      <c r="D2034" t="s">
        <v>10580</v>
      </c>
      <c r="E2034" t="s">
        <v>10581</v>
      </c>
      <c r="L2034" t="s">
        <v>79</v>
      </c>
      <c r="M2034" t="s">
        <v>72</v>
      </c>
      <c r="R2034" t="s">
        <v>10582</v>
      </c>
      <c r="W2034" t="s">
        <v>10581</v>
      </c>
      <c r="X2034" t="s">
        <v>286</v>
      </c>
      <c r="Y2034" t="s">
        <v>242</v>
      </c>
      <c r="Z2034" t="s">
        <v>73</v>
      </c>
      <c r="AA2034" t="str">
        <f>"14701-7077"</f>
        <v>14701-7077</v>
      </c>
      <c r="AB2034" t="s">
        <v>74</v>
      </c>
      <c r="AC2034" t="s">
        <v>75</v>
      </c>
      <c r="AD2034" t="s">
        <v>72</v>
      </c>
      <c r="AE2034" t="s">
        <v>76</v>
      </c>
      <c r="AF2034" t="s">
        <v>3974</v>
      </c>
      <c r="AG2034" t="s">
        <v>77</v>
      </c>
    </row>
    <row r="2035" spans="1:33" x14ac:dyDescent="0.25">
      <c r="A2035" t="str">
        <f>"1043595911"</f>
        <v>1043595911</v>
      </c>
      <c r="C2035" t="s">
        <v>10583</v>
      </c>
      <c r="K2035" t="s">
        <v>89</v>
      </c>
      <c r="L2035" t="s">
        <v>71</v>
      </c>
      <c r="M2035" t="s">
        <v>72</v>
      </c>
      <c r="R2035" t="s">
        <v>10584</v>
      </c>
      <c r="S2035" t="s">
        <v>3934</v>
      </c>
      <c r="T2035" t="s">
        <v>303</v>
      </c>
      <c r="U2035" t="s">
        <v>153</v>
      </c>
      <c r="V2035" t="str">
        <f>"441091900"</f>
        <v>441091900</v>
      </c>
      <c r="AC2035" t="s">
        <v>75</v>
      </c>
      <c r="AD2035" t="s">
        <v>72</v>
      </c>
      <c r="AE2035" t="s">
        <v>93</v>
      </c>
      <c r="AF2035" t="s">
        <v>3974</v>
      </c>
      <c r="AG2035" t="s">
        <v>77</v>
      </c>
    </row>
    <row r="2036" spans="1:33" x14ac:dyDescent="0.25">
      <c r="A2036" t="str">
        <f>"1245664721"</f>
        <v>1245664721</v>
      </c>
      <c r="B2036" t="str">
        <f>"03714454"</f>
        <v>03714454</v>
      </c>
      <c r="C2036" t="s">
        <v>10585</v>
      </c>
      <c r="D2036" t="s">
        <v>564</v>
      </c>
      <c r="E2036" t="s">
        <v>565</v>
      </c>
      <c r="L2036" t="s">
        <v>79</v>
      </c>
      <c r="M2036" t="s">
        <v>72</v>
      </c>
      <c r="R2036" t="s">
        <v>563</v>
      </c>
      <c r="W2036" t="s">
        <v>565</v>
      </c>
      <c r="X2036" t="s">
        <v>566</v>
      </c>
      <c r="Y2036" t="s">
        <v>247</v>
      </c>
      <c r="Z2036" t="s">
        <v>73</v>
      </c>
      <c r="AA2036" t="str">
        <f>"14225-2591"</f>
        <v>14225-2591</v>
      </c>
      <c r="AB2036" t="s">
        <v>74</v>
      </c>
      <c r="AC2036" t="s">
        <v>75</v>
      </c>
      <c r="AD2036" t="s">
        <v>72</v>
      </c>
      <c r="AE2036" t="s">
        <v>76</v>
      </c>
      <c r="AF2036" t="s">
        <v>3974</v>
      </c>
      <c r="AG2036" t="s">
        <v>77</v>
      </c>
    </row>
    <row r="2037" spans="1:33" x14ac:dyDescent="0.25">
      <c r="A2037" t="str">
        <f>"1467887067"</f>
        <v>1467887067</v>
      </c>
      <c r="B2037" t="str">
        <f>"03689549"</f>
        <v>03689549</v>
      </c>
      <c r="C2037" t="s">
        <v>10586</v>
      </c>
      <c r="D2037" t="s">
        <v>10587</v>
      </c>
      <c r="E2037" t="s">
        <v>10588</v>
      </c>
      <c r="L2037" t="s">
        <v>79</v>
      </c>
      <c r="M2037" t="s">
        <v>72</v>
      </c>
      <c r="R2037" t="s">
        <v>10589</v>
      </c>
      <c r="W2037" t="s">
        <v>10588</v>
      </c>
      <c r="X2037" t="s">
        <v>1305</v>
      </c>
      <c r="Y2037" t="s">
        <v>117</v>
      </c>
      <c r="Z2037" t="s">
        <v>73</v>
      </c>
      <c r="AA2037" t="str">
        <f>"14222-1836"</f>
        <v>14222-1836</v>
      </c>
      <c r="AB2037" t="s">
        <v>74</v>
      </c>
      <c r="AC2037" t="s">
        <v>75</v>
      </c>
      <c r="AD2037" t="s">
        <v>72</v>
      </c>
      <c r="AE2037" t="s">
        <v>76</v>
      </c>
      <c r="AF2037" t="s">
        <v>3974</v>
      </c>
      <c r="AG2037" t="s">
        <v>77</v>
      </c>
    </row>
    <row r="2038" spans="1:33" x14ac:dyDescent="0.25">
      <c r="A2038" t="str">
        <f>"1548532849"</f>
        <v>1548532849</v>
      </c>
      <c r="B2038" t="str">
        <f>"03767911"</f>
        <v>03767911</v>
      </c>
      <c r="C2038" t="s">
        <v>10590</v>
      </c>
      <c r="D2038" t="s">
        <v>764</v>
      </c>
      <c r="E2038" t="s">
        <v>765</v>
      </c>
      <c r="L2038" t="s">
        <v>71</v>
      </c>
      <c r="M2038" t="s">
        <v>72</v>
      </c>
      <c r="R2038" t="s">
        <v>767</v>
      </c>
      <c r="W2038" t="s">
        <v>765</v>
      </c>
      <c r="X2038" t="s">
        <v>768</v>
      </c>
      <c r="Y2038" t="s">
        <v>228</v>
      </c>
      <c r="Z2038" t="s">
        <v>73</v>
      </c>
      <c r="AA2038" t="str">
        <f>"14226-4081"</f>
        <v>14226-4081</v>
      </c>
      <c r="AB2038" t="s">
        <v>74</v>
      </c>
      <c r="AC2038" t="s">
        <v>75</v>
      </c>
      <c r="AD2038" t="s">
        <v>72</v>
      </c>
      <c r="AE2038" t="s">
        <v>76</v>
      </c>
      <c r="AF2038" t="s">
        <v>3974</v>
      </c>
      <c r="AG2038" t="s">
        <v>77</v>
      </c>
    </row>
    <row r="2039" spans="1:33" x14ac:dyDescent="0.25">
      <c r="A2039" t="str">
        <f>"1538469804"</f>
        <v>1538469804</v>
      </c>
      <c r="B2039" t="str">
        <f>"03814019"</f>
        <v>03814019</v>
      </c>
      <c r="C2039" t="s">
        <v>10591</v>
      </c>
      <c r="D2039" t="s">
        <v>10592</v>
      </c>
      <c r="E2039" t="s">
        <v>10593</v>
      </c>
      <c r="L2039" t="s">
        <v>71</v>
      </c>
      <c r="M2039" t="s">
        <v>72</v>
      </c>
      <c r="R2039" t="s">
        <v>10594</v>
      </c>
      <c r="W2039" t="s">
        <v>10595</v>
      </c>
      <c r="X2039" t="s">
        <v>393</v>
      </c>
      <c r="Y2039" t="s">
        <v>228</v>
      </c>
      <c r="Z2039" t="s">
        <v>73</v>
      </c>
      <c r="AA2039" t="str">
        <f>"14226-1727"</f>
        <v>14226-1727</v>
      </c>
      <c r="AB2039" t="s">
        <v>74</v>
      </c>
      <c r="AC2039" t="s">
        <v>75</v>
      </c>
      <c r="AD2039" t="s">
        <v>72</v>
      </c>
      <c r="AE2039" t="s">
        <v>76</v>
      </c>
      <c r="AF2039" t="s">
        <v>4043</v>
      </c>
      <c r="AG2039" t="s">
        <v>77</v>
      </c>
    </row>
    <row r="2040" spans="1:33" x14ac:dyDescent="0.25">
      <c r="A2040" t="str">
        <f>"1992946834"</f>
        <v>1992946834</v>
      </c>
      <c r="B2040" t="str">
        <f>"03112461"</f>
        <v>03112461</v>
      </c>
      <c r="C2040" t="s">
        <v>10596</v>
      </c>
      <c r="D2040" t="s">
        <v>3552</v>
      </c>
      <c r="E2040" t="s">
        <v>3553</v>
      </c>
      <c r="L2040" t="s">
        <v>79</v>
      </c>
      <c r="M2040" t="s">
        <v>72</v>
      </c>
      <c r="R2040" t="s">
        <v>3554</v>
      </c>
      <c r="W2040" t="s">
        <v>3553</v>
      </c>
      <c r="X2040" t="s">
        <v>2027</v>
      </c>
      <c r="Y2040" t="s">
        <v>326</v>
      </c>
      <c r="Z2040" t="s">
        <v>73</v>
      </c>
      <c r="AA2040" t="str">
        <f>"14127-1749"</f>
        <v>14127-1749</v>
      </c>
      <c r="AB2040" t="s">
        <v>74</v>
      </c>
      <c r="AC2040" t="s">
        <v>75</v>
      </c>
      <c r="AD2040" t="s">
        <v>72</v>
      </c>
      <c r="AE2040" t="s">
        <v>76</v>
      </c>
      <c r="AF2040" t="s">
        <v>3974</v>
      </c>
      <c r="AG2040" t="s">
        <v>77</v>
      </c>
    </row>
    <row r="2041" spans="1:33" x14ac:dyDescent="0.25">
      <c r="A2041" t="str">
        <f>"1811285455"</f>
        <v>1811285455</v>
      </c>
      <c r="B2041" t="str">
        <f>"03415905"</f>
        <v>03415905</v>
      </c>
      <c r="C2041" t="s">
        <v>10597</v>
      </c>
      <c r="D2041" t="s">
        <v>10598</v>
      </c>
      <c r="E2041" t="s">
        <v>10599</v>
      </c>
      <c r="L2041" t="s">
        <v>79</v>
      </c>
      <c r="M2041" t="s">
        <v>72</v>
      </c>
      <c r="R2041" t="s">
        <v>10600</v>
      </c>
      <c r="W2041" t="s">
        <v>10599</v>
      </c>
      <c r="X2041" t="s">
        <v>234</v>
      </c>
      <c r="Y2041" t="s">
        <v>117</v>
      </c>
      <c r="Z2041" t="s">
        <v>73</v>
      </c>
      <c r="AA2041" t="str">
        <f>"14220-2039"</f>
        <v>14220-2039</v>
      </c>
      <c r="AB2041" t="s">
        <v>74</v>
      </c>
      <c r="AC2041" t="s">
        <v>75</v>
      </c>
      <c r="AD2041" t="s">
        <v>72</v>
      </c>
      <c r="AE2041" t="s">
        <v>76</v>
      </c>
      <c r="AF2041" t="s">
        <v>3961</v>
      </c>
      <c r="AG2041" t="s">
        <v>77</v>
      </c>
    </row>
    <row r="2042" spans="1:33" x14ac:dyDescent="0.25">
      <c r="A2042" t="str">
        <f>"1689639569"</f>
        <v>1689639569</v>
      </c>
      <c r="B2042" t="str">
        <f>"02342785"</f>
        <v>02342785</v>
      </c>
      <c r="C2042" t="s">
        <v>10601</v>
      </c>
      <c r="D2042" t="s">
        <v>665</v>
      </c>
      <c r="E2042" t="s">
        <v>666</v>
      </c>
      <c r="L2042" t="s">
        <v>79</v>
      </c>
      <c r="M2042" t="s">
        <v>72</v>
      </c>
      <c r="R2042" t="s">
        <v>667</v>
      </c>
      <c r="W2042" t="s">
        <v>668</v>
      </c>
      <c r="X2042" t="s">
        <v>187</v>
      </c>
      <c r="Y2042" t="s">
        <v>188</v>
      </c>
      <c r="Z2042" t="s">
        <v>73</v>
      </c>
      <c r="AA2042" t="str">
        <f>"14092-1903"</f>
        <v>14092-1903</v>
      </c>
      <c r="AB2042" t="s">
        <v>74</v>
      </c>
      <c r="AC2042" t="s">
        <v>75</v>
      </c>
      <c r="AD2042" t="s">
        <v>72</v>
      </c>
      <c r="AE2042" t="s">
        <v>76</v>
      </c>
      <c r="AF2042" t="s">
        <v>3974</v>
      </c>
      <c r="AG2042" t="s">
        <v>77</v>
      </c>
    </row>
    <row r="2043" spans="1:33" x14ac:dyDescent="0.25">
      <c r="A2043" t="str">
        <f>"1275568958"</f>
        <v>1275568958</v>
      </c>
      <c r="B2043" t="str">
        <f>"01843136"</f>
        <v>01843136</v>
      </c>
      <c r="C2043" t="s">
        <v>10602</v>
      </c>
      <c r="D2043" t="s">
        <v>10603</v>
      </c>
      <c r="E2043" t="s">
        <v>10604</v>
      </c>
      <c r="G2043" t="s">
        <v>5995</v>
      </c>
      <c r="H2043" t="s">
        <v>5786</v>
      </c>
      <c r="J2043" t="s">
        <v>5996</v>
      </c>
      <c r="L2043" t="s">
        <v>80</v>
      </c>
      <c r="M2043" t="s">
        <v>81</v>
      </c>
      <c r="R2043" t="s">
        <v>10605</v>
      </c>
      <c r="W2043" t="s">
        <v>10604</v>
      </c>
      <c r="X2043" t="s">
        <v>1411</v>
      </c>
      <c r="Y2043" t="s">
        <v>117</v>
      </c>
      <c r="Z2043" t="s">
        <v>73</v>
      </c>
      <c r="AA2043" t="str">
        <f>"14220-1700"</f>
        <v>14220-1700</v>
      </c>
      <c r="AB2043" t="s">
        <v>74</v>
      </c>
      <c r="AC2043" t="s">
        <v>75</v>
      </c>
      <c r="AD2043" t="s">
        <v>72</v>
      </c>
      <c r="AE2043" t="s">
        <v>76</v>
      </c>
      <c r="AF2043" t="s">
        <v>3961</v>
      </c>
      <c r="AG2043" t="s">
        <v>77</v>
      </c>
    </row>
    <row r="2044" spans="1:33" x14ac:dyDescent="0.25">
      <c r="A2044" t="str">
        <f>"1750323291"</f>
        <v>1750323291</v>
      </c>
      <c r="B2044" t="str">
        <f>"02076644"</f>
        <v>02076644</v>
      </c>
      <c r="C2044" t="s">
        <v>10606</v>
      </c>
      <c r="D2044" t="s">
        <v>10607</v>
      </c>
      <c r="E2044" t="s">
        <v>10608</v>
      </c>
      <c r="G2044" t="s">
        <v>10609</v>
      </c>
      <c r="H2044" t="s">
        <v>10610</v>
      </c>
      <c r="J2044" t="s">
        <v>10611</v>
      </c>
      <c r="L2044" t="s">
        <v>84</v>
      </c>
      <c r="M2044" t="s">
        <v>72</v>
      </c>
      <c r="R2044" t="s">
        <v>10612</v>
      </c>
      <c r="W2044" t="s">
        <v>10608</v>
      </c>
      <c r="X2044" t="s">
        <v>10613</v>
      </c>
      <c r="Y2044" t="s">
        <v>117</v>
      </c>
      <c r="Z2044" t="s">
        <v>73</v>
      </c>
      <c r="AA2044" t="str">
        <f>"14214-2648"</f>
        <v>14214-2648</v>
      </c>
      <c r="AB2044" t="s">
        <v>74</v>
      </c>
      <c r="AC2044" t="s">
        <v>75</v>
      </c>
      <c r="AD2044" t="s">
        <v>72</v>
      </c>
      <c r="AE2044" t="s">
        <v>76</v>
      </c>
      <c r="AG2044" t="s">
        <v>77</v>
      </c>
    </row>
    <row r="2045" spans="1:33" x14ac:dyDescent="0.25">
      <c r="A2045" t="str">
        <f>"1134133127"</f>
        <v>1134133127</v>
      </c>
      <c r="B2045" t="str">
        <f>"00614902"</f>
        <v>00614902</v>
      </c>
      <c r="C2045" t="s">
        <v>10614</v>
      </c>
      <c r="D2045" t="s">
        <v>10615</v>
      </c>
      <c r="E2045" t="s">
        <v>10616</v>
      </c>
      <c r="G2045" t="s">
        <v>10614</v>
      </c>
      <c r="H2045" t="s">
        <v>10617</v>
      </c>
      <c r="J2045" t="s">
        <v>10618</v>
      </c>
      <c r="L2045" t="s">
        <v>71</v>
      </c>
      <c r="M2045" t="s">
        <v>72</v>
      </c>
      <c r="R2045" t="s">
        <v>10619</v>
      </c>
      <c r="W2045" t="s">
        <v>10616</v>
      </c>
      <c r="X2045" t="s">
        <v>10620</v>
      </c>
      <c r="Y2045" t="s">
        <v>296</v>
      </c>
      <c r="Z2045" t="s">
        <v>73</v>
      </c>
      <c r="AA2045" t="str">
        <f>"14086-2824"</f>
        <v>14086-2824</v>
      </c>
      <c r="AB2045" t="s">
        <v>74</v>
      </c>
      <c r="AC2045" t="s">
        <v>75</v>
      </c>
      <c r="AD2045" t="s">
        <v>72</v>
      </c>
      <c r="AE2045" t="s">
        <v>76</v>
      </c>
      <c r="AF2045" t="s">
        <v>4431</v>
      </c>
      <c r="AG2045" t="s">
        <v>77</v>
      </c>
    </row>
    <row r="2046" spans="1:33" x14ac:dyDescent="0.25">
      <c r="A2046" t="str">
        <f>"1093997454"</f>
        <v>1093997454</v>
      </c>
      <c r="B2046" t="str">
        <f>"00518974"</f>
        <v>00518974</v>
      </c>
      <c r="C2046" t="s">
        <v>8090</v>
      </c>
      <c r="D2046" t="s">
        <v>488</v>
      </c>
      <c r="E2046" t="s">
        <v>489</v>
      </c>
      <c r="F2046">
        <v>160975538</v>
      </c>
      <c r="G2046" t="s">
        <v>490</v>
      </c>
      <c r="H2046" t="s">
        <v>491</v>
      </c>
      <c r="J2046" t="s">
        <v>492</v>
      </c>
      <c r="L2046" t="s">
        <v>35</v>
      </c>
      <c r="M2046" t="s">
        <v>81</v>
      </c>
      <c r="R2046" t="s">
        <v>493</v>
      </c>
      <c r="W2046" t="s">
        <v>489</v>
      </c>
      <c r="X2046" t="s">
        <v>494</v>
      </c>
      <c r="Y2046" t="s">
        <v>221</v>
      </c>
      <c r="Z2046" t="s">
        <v>73</v>
      </c>
      <c r="AA2046" t="str">
        <f>"14221-6837"</f>
        <v>14221-6837</v>
      </c>
      <c r="AB2046" t="s">
        <v>98</v>
      </c>
      <c r="AC2046" t="s">
        <v>75</v>
      </c>
      <c r="AD2046" t="s">
        <v>72</v>
      </c>
      <c r="AE2046" t="s">
        <v>76</v>
      </c>
      <c r="AF2046" t="s">
        <v>4059</v>
      </c>
      <c r="AG2046" t="s">
        <v>77</v>
      </c>
    </row>
    <row r="2047" spans="1:33" x14ac:dyDescent="0.25">
      <c r="A2047" t="str">
        <f>"1154310266"</f>
        <v>1154310266</v>
      </c>
      <c r="B2047" t="str">
        <f>"01816999"</f>
        <v>01816999</v>
      </c>
      <c r="C2047" t="s">
        <v>10621</v>
      </c>
      <c r="D2047" t="s">
        <v>10622</v>
      </c>
      <c r="E2047" t="s">
        <v>10623</v>
      </c>
      <c r="G2047" t="s">
        <v>4797</v>
      </c>
      <c r="H2047" t="s">
        <v>4798</v>
      </c>
      <c r="I2047">
        <v>104</v>
      </c>
      <c r="J2047" t="s">
        <v>4799</v>
      </c>
      <c r="L2047" t="s">
        <v>80</v>
      </c>
      <c r="M2047" t="s">
        <v>72</v>
      </c>
      <c r="R2047" t="s">
        <v>10624</v>
      </c>
      <c r="W2047" t="s">
        <v>10625</v>
      </c>
      <c r="Y2047" t="s">
        <v>242</v>
      </c>
      <c r="Z2047" t="s">
        <v>73</v>
      </c>
      <c r="AA2047" t="str">
        <f>"14701-7096"</f>
        <v>14701-7096</v>
      </c>
      <c r="AB2047" t="s">
        <v>74</v>
      </c>
      <c r="AC2047" t="s">
        <v>75</v>
      </c>
      <c r="AD2047" t="s">
        <v>72</v>
      </c>
      <c r="AE2047" t="s">
        <v>76</v>
      </c>
      <c r="AF2047" t="s">
        <v>4049</v>
      </c>
      <c r="AG2047" t="s">
        <v>77</v>
      </c>
    </row>
    <row r="2048" spans="1:33" x14ac:dyDescent="0.25">
      <c r="A2048" t="str">
        <f>"1831154525"</f>
        <v>1831154525</v>
      </c>
      <c r="B2048" t="str">
        <f>"01650531"</f>
        <v>01650531</v>
      </c>
      <c r="C2048" t="s">
        <v>10626</v>
      </c>
      <c r="D2048" t="s">
        <v>10627</v>
      </c>
      <c r="E2048" t="s">
        <v>10628</v>
      </c>
      <c r="G2048" t="s">
        <v>6164</v>
      </c>
      <c r="H2048" t="s">
        <v>10629</v>
      </c>
      <c r="J2048" t="s">
        <v>6166</v>
      </c>
      <c r="L2048" t="s">
        <v>79</v>
      </c>
      <c r="M2048" t="s">
        <v>72</v>
      </c>
      <c r="R2048" t="s">
        <v>10630</v>
      </c>
      <c r="W2048" t="s">
        <v>10628</v>
      </c>
      <c r="X2048" t="s">
        <v>435</v>
      </c>
      <c r="Y2048" t="s">
        <v>436</v>
      </c>
      <c r="Z2048" t="s">
        <v>73</v>
      </c>
      <c r="AA2048" t="str">
        <f>"14217"</f>
        <v>14217</v>
      </c>
      <c r="AB2048" t="s">
        <v>74</v>
      </c>
      <c r="AC2048" t="s">
        <v>75</v>
      </c>
      <c r="AD2048" t="s">
        <v>72</v>
      </c>
      <c r="AE2048" t="s">
        <v>76</v>
      </c>
      <c r="AF2048" t="s">
        <v>3974</v>
      </c>
      <c r="AG2048" t="s">
        <v>77</v>
      </c>
    </row>
    <row r="2049" spans="1:33" x14ac:dyDescent="0.25">
      <c r="A2049" t="str">
        <f>"1801851803"</f>
        <v>1801851803</v>
      </c>
      <c r="B2049" t="str">
        <f>"00693949"</f>
        <v>00693949</v>
      </c>
      <c r="C2049" t="s">
        <v>10631</v>
      </c>
      <c r="D2049" t="s">
        <v>3623</v>
      </c>
      <c r="E2049" t="s">
        <v>3624</v>
      </c>
      <c r="G2049" t="s">
        <v>4752</v>
      </c>
      <c r="H2049" t="s">
        <v>4753</v>
      </c>
      <c r="J2049" t="s">
        <v>4754</v>
      </c>
      <c r="L2049" t="s">
        <v>79</v>
      </c>
      <c r="M2049" t="s">
        <v>72</v>
      </c>
      <c r="R2049" t="s">
        <v>3625</v>
      </c>
      <c r="W2049" t="s">
        <v>3624</v>
      </c>
      <c r="Y2049" t="s">
        <v>117</v>
      </c>
      <c r="Z2049" t="s">
        <v>73</v>
      </c>
      <c r="AA2049" t="str">
        <f>"14220-2095"</f>
        <v>14220-2095</v>
      </c>
      <c r="AB2049" t="s">
        <v>74</v>
      </c>
      <c r="AC2049" t="s">
        <v>75</v>
      </c>
      <c r="AD2049" t="s">
        <v>72</v>
      </c>
      <c r="AE2049" t="s">
        <v>76</v>
      </c>
      <c r="AG2049" t="s">
        <v>77</v>
      </c>
    </row>
    <row r="2050" spans="1:33" x14ac:dyDescent="0.25">
      <c r="A2050" t="str">
        <f>"1316923253"</f>
        <v>1316923253</v>
      </c>
      <c r="B2050" t="str">
        <f>"02697414"</f>
        <v>02697414</v>
      </c>
      <c r="C2050" t="s">
        <v>10632</v>
      </c>
      <c r="D2050" t="s">
        <v>1935</v>
      </c>
      <c r="E2050" t="s">
        <v>1936</v>
      </c>
      <c r="G2050" t="s">
        <v>4014</v>
      </c>
      <c r="H2050" t="s">
        <v>750</v>
      </c>
      <c r="J2050" t="s">
        <v>4015</v>
      </c>
      <c r="L2050" t="s">
        <v>79</v>
      </c>
      <c r="M2050" t="s">
        <v>72</v>
      </c>
      <c r="R2050" t="s">
        <v>1937</v>
      </c>
      <c r="W2050" t="s">
        <v>1936</v>
      </c>
      <c r="X2050" t="s">
        <v>798</v>
      </c>
      <c r="Y2050" t="s">
        <v>221</v>
      </c>
      <c r="Z2050" t="s">
        <v>73</v>
      </c>
      <c r="AA2050" t="str">
        <f>"14221-2917"</f>
        <v>14221-2917</v>
      </c>
      <c r="AB2050" t="s">
        <v>74</v>
      </c>
      <c r="AC2050" t="s">
        <v>75</v>
      </c>
      <c r="AD2050" t="s">
        <v>72</v>
      </c>
      <c r="AE2050" t="s">
        <v>76</v>
      </c>
      <c r="AF2050" t="s">
        <v>3974</v>
      </c>
      <c r="AG2050" t="s">
        <v>77</v>
      </c>
    </row>
    <row r="2051" spans="1:33" x14ac:dyDescent="0.25">
      <c r="A2051" t="str">
        <f>"1639157571"</f>
        <v>1639157571</v>
      </c>
      <c r="B2051" t="str">
        <f>"01210571"</f>
        <v>01210571</v>
      </c>
      <c r="C2051" t="s">
        <v>10633</v>
      </c>
      <c r="D2051" t="s">
        <v>10634</v>
      </c>
      <c r="E2051" t="s">
        <v>10635</v>
      </c>
      <c r="G2051" t="s">
        <v>5946</v>
      </c>
      <c r="H2051" t="s">
        <v>5947</v>
      </c>
      <c r="J2051" t="s">
        <v>5948</v>
      </c>
      <c r="L2051" t="s">
        <v>79</v>
      </c>
      <c r="M2051" t="s">
        <v>72</v>
      </c>
      <c r="R2051" t="s">
        <v>10636</v>
      </c>
      <c r="W2051" t="s">
        <v>10637</v>
      </c>
      <c r="X2051" t="s">
        <v>5950</v>
      </c>
      <c r="Y2051" t="s">
        <v>188</v>
      </c>
      <c r="Z2051" t="s">
        <v>73</v>
      </c>
      <c r="AA2051" t="str">
        <f>"14092-1903"</f>
        <v>14092-1903</v>
      </c>
      <c r="AB2051" t="s">
        <v>74</v>
      </c>
      <c r="AC2051" t="s">
        <v>75</v>
      </c>
      <c r="AD2051" t="s">
        <v>72</v>
      </c>
      <c r="AE2051" t="s">
        <v>76</v>
      </c>
      <c r="AF2051" t="s">
        <v>3974</v>
      </c>
      <c r="AG2051" t="s">
        <v>77</v>
      </c>
    </row>
    <row r="2052" spans="1:33" x14ac:dyDescent="0.25">
      <c r="A2052" t="str">
        <f>"1427051515"</f>
        <v>1427051515</v>
      </c>
      <c r="B2052" t="str">
        <f>"00630873"</f>
        <v>00630873</v>
      </c>
      <c r="C2052" t="s">
        <v>10638</v>
      </c>
      <c r="D2052" t="s">
        <v>10639</v>
      </c>
      <c r="E2052" t="s">
        <v>10640</v>
      </c>
      <c r="G2052" t="s">
        <v>10641</v>
      </c>
      <c r="H2052" t="s">
        <v>10642</v>
      </c>
      <c r="J2052" t="s">
        <v>10643</v>
      </c>
      <c r="L2052" t="s">
        <v>79</v>
      </c>
      <c r="M2052" t="s">
        <v>72</v>
      </c>
      <c r="R2052" t="s">
        <v>10644</v>
      </c>
      <c r="W2052" t="s">
        <v>10645</v>
      </c>
      <c r="X2052" t="s">
        <v>10646</v>
      </c>
      <c r="Y2052" t="s">
        <v>221</v>
      </c>
      <c r="Z2052" t="s">
        <v>73</v>
      </c>
      <c r="AA2052" t="str">
        <f>"14221-5725"</f>
        <v>14221-5725</v>
      </c>
      <c r="AB2052" t="s">
        <v>74</v>
      </c>
      <c r="AC2052" t="s">
        <v>75</v>
      </c>
      <c r="AD2052" t="s">
        <v>72</v>
      </c>
      <c r="AE2052" t="s">
        <v>76</v>
      </c>
      <c r="AF2052" t="s">
        <v>3974</v>
      </c>
      <c r="AG2052" t="s">
        <v>77</v>
      </c>
    </row>
    <row r="2053" spans="1:33" x14ac:dyDescent="0.25">
      <c r="A2053" t="str">
        <f>"1396045787"</f>
        <v>1396045787</v>
      </c>
      <c r="B2053" t="str">
        <f>"03481216"</f>
        <v>03481216</v>
      </c>
      <c r="C2053" t="s">
        <v>10647</v>
      </c>
      <c r="D2053" t="s">
        <v>10648</v>
      </c>
      <c r="E2053" t="s">
        <v>10649</v>
      </c>
      <c r="L2053" t="s">
        <v>79</v>
      </c>
      <c r="M2053" t="s">
        <v>72</v>
      </c>
      <c r="R2053" t="s">
        <v>10650</v>
      </c>
      <c r="W2053" t="s">
        <v>10649</v>
      </c>
      <c r="X2053" t="s">
        <v>5072</v>
      </c>
      <c r="Y2053" t="s">
        <v>209</v>
      </c>
      <c r="Z2053" t="s">
        <v>73</v>
      </c>
      <c r="AA2053" t="str">
        <f>"14304-3084"</f>
        <v>14304-3084</v>
      </c>
      <c r="AB2053" t="s">
        <v>74</v>
      </c>
      <c r="AC2053" t="s">
        <v>75</v>
      </c>
      <c r="AD2053" t="s">
        <v>72</v>
      </c>
      <c r="AE2053" t="s">
        <v>76</v>
      </c>
      <c r="AF2053" t="s">
        <v>3974</v>
      </c>
      <c r="AG2053" t="s">
        <v>77</v>
      </c>
    </row>
    <row r="2054" spans="1:33" x14ac:dyDescent="0.25">
      <c r="A2054" t="str">
        <f>"1609819937"</f>
        <v>1609819937</v>
      </c>
      <c r="B2054" t="str">
        <f>"02342890"</f>
        <v>02342890</v>
      </c>
      <c r="C2054" t="s">
        <v>10651</v>
      </c>
      <c r="D2054" t="s">
        <v>10652</v>
      </c>
      <c r="E2054" t="s">
        <v>10653</v>
      </c>
      <c r="L2054" t="s">
        <v>79</v>
      </c>
      <c r="M2054" t="s">
        <v>72</v>
      </c>
      <c r="R2054" t="s">
        <v>10654</v>
      </c>
      <c r="W2054" t="s">
        <v>10653</v>
      </c>
      <c r="X2054" t="s">
        <v>1895</v>
      </c>
      <c r="Y2054" t="s">
        <v>1079</v>
      </c>
      <c r="Z2054" t="s">
        <v>73</v>
      </c>
      <c r="AA2054" t="str">
        <f>"14075-2600"</f>
        <v>14075-2600</v>
      </c>
      <c r="AB2054" t="s">
        <v>74</v>
      </c>
      <c r="AC2054" t="s">
        <v>75</v>
      </c>
      <c r="AD2054" t="s">
        <v>72</v>
      </c>
      <c r="AE2054" t="s">
        <v>76</v>
      </c>
      <c r="AF2054" t="s">
        <v>3961</v>
      </c>
      <c r="AG2054" t="s">
        <v>77</v>
      </c>
    </row>
    <row r="2055" spans="1:33" x14ac:dyDescent="0.25">
      <c r="A2055" t="str">
        <f>"1104896570"</f>
        <v>1104896570</v>
      </c>
      <c r="B2055" t="str">
        <f>"02490980"</f>
        <v>02490980</v>
      </c>
      <c r="C2055" t="s">
        <v>10655</v>
      </c>
      <c r="D2055" t="s">
        <v>1953</v>
      </c>
      <c r="E2055" t="s">
        <v>1954</v>
      </c>
      <c r="L2055" t="s">
        <v>79</v>
      </c>
      <c r="M2055" t="s">
        <v>72</v>
      </c>
      <c r="R2055" t="s">
        <v>1954</v>
      </c>
      <c r="W2055" t="s">
        <v>1954</v>
      </c>
      <c r="X2055" t="s">
        <v>1955</v>
      </c>
      <c r="Y2055" t="s">
        <v>240</v>
      </c>
      <c r="Z2055" t="s">
        <v>73</v>
      </c>
      <c r="AA2055" t="str">
        <f>"14094-5376"</f>
        <v>14094-5376</v>
      </c>
      <c r="AB2055" t="s">
        <v>74</v>
      </c>
      <c r="AC2055" t="s">
        <v>75</v>
      </c>
      <c r="AD2055" t="s">
        <v>72</v>
      </c>
      <c r="AE2055" t="s">
        <v>76</v>
      </c>
      <c r="AF2055" t="s">
        <v>3974</v>
      </c>
      <c r="AG2055" t="s">
        <v>77</v>
      </c>
    </row>
    <row r="2056" spans="1:33" x14ac:dyDescent="0.25">
      <c r="A2056" t="str">
        <f>"1003808445"</f>
        <v>1003808445</v>
      </c>
      <c r="B2056" t="str">
        <f>"02344796"</f>
        <v>02344796</v>
      </c>
      <c r="C2056" t="s">
        <v>10656</v>
      </c>
      <c r="D2056" t="s">
        <v>10657</v>
      </c>
      <c r="E2056" t="s">
        <v>10658</v>
      </c>
      <c r="L2056" t="s">
        <v>79</v>
      </c>
      <c r="M2056" t="s">
        <v>72</v>
      </c>
      <c r="R2056" t="s">
        <v>10659</v>
      </c>
      <c r="W2056" t="s">
        <v>10658</v>
      </c>
      <c r="X2056" t="s">
        <v>649</v>
      </c>
      <c r="Y2056" t="s">
        <v>237</v>
      </c>
      <c r="Z2056" t="s">
        <v>73</v>
      </c>
      <c r="AA2056" t="str">
        <f>"14224-4638"</f>
        <v>14224-4638</v>
      </c>
      <c r="AB2056" t="s">
        <v>74</v>
      </c>
      <c r="AC2056" t="s">
        <v>75</v>
      </c>
      <c r="AD2056" t="s">
        <v>72</v>
      </c>
      <c r="AE2056" t="s">
        <v>76</v>
      </c>
      <c r="AF2056" t="s">
        <v>3974</v>
      </c>
      <c r="AG2056" t="s">
        <v>77</v>
      </c>
    </row>
    <row r="2057" spans="1:33" x14ac:dyDescent="0.25">
      <c r="A2057" t="str">
        <f>"1558778290"</f>
        <v>1558778290</v>
      </c>
      <c r="B2057" t="str">
        <f>"03988016"</f>
        <v>03988016</v>
      </c>
      <c r="C2057" t="s">
        <v>10660</v>
      </c>
      <c r="D2057" t="s">
        <v>10661</v>
      </c>
      <c r="E2057" t="s">
        <v>10662</v>
      </c>
      <c r="L2057" t="s">
        <v>71</v>
      </c>
      <c r="M2057" t="s">
        <v>72</v>
      </c>
      <c r="R2057" t="s">
        <v>10663</v>
      </c>
      <c r="W2057" t="s">
        <v>10662</v>
      </c>
      <c r="X2057" t="s">
        <v>393</v>
      </c>
      <c r="Y2057" t="s">
        <v>228</v>
      </c>
      <c r="Z2057" t="s">
        <v>73</v>
      </c>
      <c r="AA2057" t="str">
        <f>"14226-1727"</f>
        <v>14226-1727</v>
      </c>
      <c r="AB2057" t="s">
        <v>74</v>
      </c>
      <c r="AC2057" t="s">
        <v>75</v>
      </c>
      <c r="AD2057" t="s">
        <v>72</v>
      </c>
      <c r="AE2057" t="s">
        <v>76</v>
      </c>
      <c r="AF2057" t="s">
        <v>4043</v>
      </c>
      <c r="AG2057" t="s">
        <v>77</v>
      </c>
    </row>
    <row r="2058" spans="1:33" x14ac:dyDescent="0.25">
      <c r="A2058" t="str">
        <f>"1922064393"</f>
        <v>1922064393</v>
      </c>
      <c r="B2058" t="str">
        <f>"02651518"</f>
        <v>02651518</v>
      </c>
      <c r="C2058" t="s">
        <v>10664</v>
      </c>
      <c r="D2058" t="s">
        <v>3365</v>
      </c>
      <c r="E2058" t="s">
        <v>3366</v>
      </c>
      <c r="L2058" t="s">
        <v>71</v>
      </c>
      <c r="M2058" t="s">
        <v>72</v>
      </c>
      <c r="R2058" t="s">
        <v>3367</v>
      </c>
      <c r="W2058" t="s">
        <v>3366</v>
      </c>
      <c r="X2058" t="s">
        <v>3368</v>
      </c>
      <c r="Y2058" t="s">
        <v>326</v>
      </c>
      <c r="Z2058" t="s">
        <v>73</v>
      </c>
      <c r="AA2058" t="str">
        <f>"14127"</f>
        <v>14127</v>
      </c>
      <c r="AB2058" t="s">
        <v>74</v>
      </c>
      <c r="AC2058" t="s">
        <v>75</v>
      </c>
      <c r="AD2058" t="s">
        <v>72</v>
      </c>
      <c r="AE2058" t="s">
        <v>76</v>
      </c>
      <c r="AF2058" t="s">
        <v>3974</v>
      </c>
      <c r="AG2058" t="s">
        <v>77</v>
      </c>
    </row>
    <row r="2059" spans="1:33" x14ac:dyDescent="0.25">
      <c r="A2059" t="str">
        <f>"1982858171"</f>
        <v>1982858171</v>
      </c>
      <c r="C2059" t="s">
        <v>10665</v>
      </c>
      <c r="K2059" t="s">
        <v>89</v>
      </c>
      <c r="L2059" t="s">
        <v>71</v>
      </c>
      <c r="M2059" t="s">
        <v>72</v>
      </c>
      <c r="R2059" t="s">
        <v>10666</v>
      </c>
      <c r="S2059" t="s">
        <v>1048</v>
      </c>
      <c r="T2059" t="s">
        <v>117</v>
      </c>
      <c r="U2059" t="s">
        <v>73</v>
      </c>
      <c r="V2059" t="str">
        <f>"142151433"</f>
        <v>142151433</v>
      </c>
      <c r="AC2059" t="s">
        <v>75</v>
      </c>
      <c r="AD2059" t="s">
        <v>72</v>
      </c>
      <c r="AE2059" t="s">
        <v>93</v>
      </c>
      <c r="AF2059" t="s">
        <v>3974</v>
      </c>
      <c r="AG2059" t="s">
        <v>77</v>
      </c>
    </row>
    <row r="2060" spans="1:33" x14ac:dyDescent="0.25">
      <c r="A2060" t="str">
        <f>"1730123696"</f>
        <v>1730123696</v>
      </c>
      <c r="B2060" t="str">
        <f>"02624266"</f>
        <v>02624266</v>
      </c>
      <c r="C2060" t="s">
        <v>10667</v>
      </c>
      <c r="D2060" t="s">
        <v>10668</v>
      </c>
      <c r="E2060" t="s">
        <v>10669</v>
      </c>
      <c r="L2060" t="s">
        <v>79</v>
      </c>
      <c r="M2060" t="s">
        <v>72</v>
      </c>
      <c r="R2060" t="s">
        <v>10670</v>
      </c>
      <c r="W2060" t="s">
        <v>10669</v>
      </c>
      <c r="X2060" t="s">
        <v>1161</v>
      </c>
      <c r="Y2060" t="s">
        <v>1079</v>
      </c>
      <c r="Z2060" t="s">
        <v>73</v>
      </c>
      <c r="AA2060" t="str">
        <f>"14075-5835"</f>
        <v>14075-5835</v>
      </c>
      <c r="AB2060" t="s">
        <v>74</v>
      </c>
      <c r="AC2060" t="s">
        <v>75</v>
      </c>
      <c r="AD2060" t="s">
        <v>72</v>
      </c>
      <c r="AE2060" t="s">
        <v>76</v>
      </c>
      <c r="AF2060" t="s">
        <v>3961</v>
      </c>
      <c r="AG2060" t="s">
        <v>77</v>
      </c>
    </row>
    <row r="2061" spans="1:33" x14ac:dyDescent="0.25">
      <c r="A2061" t="str">
        <f>"1174888556"</f>
        <v>1174888556</v>
      </c>
      <c r="C2061" t="s">
        <v>10671</v>
      </c>
      <c r="K2061" t="s">
        <v>89</v>
      </c>
      <c r="L2061" t="s">
        <v>71</v>
      </c>
      <c r="M2061" t="s">
        <v>72</v>
      </c>
      <c r="R2061" t="s">
        <v>10672</v>
      </c>
      <c r="S2061" t="s">
        <v>1048</v>
      </c>
      <c r="T2061" t="s">
        <v>117</v>
      </c>
      <c r="U2061" t="s">
        <v>73</v>
      </c>
      <c r="V2061" t="str">
        <f>"142151433"</f>
        <v>142151433</v>
      </c>
      <c r="AC2061" t="s">
        <v>75</v>
      </c>
      <c r="AD2061" t="s">
        <v>72</v>
      </c>
      <c r="AE2061" t="s">
        <v>93</v>
      </c>
      <c r="AF2061" t="s">
        <v>3961</v>
      </c>
      <c r="AG2061" t="s">
        <v>77</v>
      </c>
    </row>
    <row r="2062" spans="1:33" x14ac:dyDescent="0.25">
      <c r="A2062" t="str">
        <f>"1205029097"</f>
        <v>1205029097</v>
      </c>
      <c r="B2062" t="str">
        <f>"03210611"</f>
        <v>03210611</v>
      </c>
      <c r="C2062" t="s">
        <v>10673</v>
      </c>
      <c r="D2062" t="s">
        <v>10674</v>
      </c>
      <c r="E2062" t="s">
        <v>10675</v>
      </c>
      <c r="L2062" t="s">
        <v>79</v>
      </c>
      <c r="M2062" t="s">
        <v>72</v>
      </c>
      <c r="R2062" t="s">
        <v>10675</v>
      </c>
      <c r="W2062" t="s">
        <v>10676</v>
      </c>
      <c r="X2062" t="s">
        <v>10677</v>
      </c>
      <c r="Y2062" t="s">
        <v>326</v>
      </c>
      <c r="Z2062" t="s">
        <v>73</v>
      </c>
      <c r="AA2062" t="str">
        <f>"14127-1853"</f>
        <v>14127-1853</v>
      </c>
      <c r="AB2062" t="s">
        <v>74</v>
      </c>
      <c r="AC2062" t="s">
        <v>75</v>
      </c>
      <c r="AD2062" t="s">
        <v>72</v>
      </c>
      <c r="AE2062" t="s">
        <v>76</v>
      </c>
      <c r="AF2062" t="s">
        <v>3961</v>
      </c>
      <c r="AG2062" t="s">
        <v>77</v>
      </c>
    </row>
    <row r="2063" spans="1:33" x14ac:dyDescent="0.25">
      <c r="A2063" t="str">
        <f>"1114972205"</f>
        <v>1114972205</v>
      </c>
      <c r="B2063" t="str">
        <f>"03033254"</f>
        <v>03033254</v>
      </c>
      <c r="C2063" t="s">
        <v>10678</v>
      </c>
      <c r="D2063" t="s">
        <v>10679</v>
      </c>
      <c r="E2063" t="s">
        <v>10680</v>
      </c>
      <c r="L2063" t="s">
        <v>71</v>
      </c>
      <c r="M2063" t="s">
        <v>72</v>
      </c>
      <c r="R2063" t="s">
        <v>10681</v>
      </c>
      <c r="W2063" t="s">
        <v>10680</v>
      </c>
      <c r="X2063" t="s">
        <v>970</v>
      </c>
      <c r="Y2063" t="s">
        <v>326</v>
      </c>
      <c r="Z2063" t="s">
        <v>73</v>
      </c>
      <c r="AA2063" t="str">
        <f>"14127-1500"</f>
        <v>14127-1500</v>
      </c>
      <c r="AB2063" t="s">
        <v>74</v>
      </c>
      <c r="AC2063" t="s">
        <v>75</v>
      </c>
      <c r="AD2063" t="s">
        <v>72</v>
      </c>
      <c r="AE2063" t="s">
        <v>76</v>
      </c>
      <c r="AF2063" t="s">
        <v>3974</v>
      </c>
      <c r="AG2063" t="s">
        <v>77</v>
      </c>
    </row>
    <row r="2064" spans="1:33" x14ac:dyDescent="0.25">
      <c r="A2064" t="str">
        <f>"1619253630"</f>
        <v>1619253630</v>
      </c>
      <c r="B2064" t="str">
        <f>"03449007"</f>
        <v>03449007</v>
      </c>
      <c r="C2064" t="s">
        <v>10682</v>
      </c>
      <c r="D2064" t="s">
        <v>1588</v>
      </c>
      <c r="E2064" t="s">
        <v>1589</v>
      </c>
      <c r="L2064" t="s">
        <v>71</v>
      </c>
      <c r="M2064" t="s">
        <v>72</v>
      </c>
      <c r="R2064" t="s">
        <v>1590</v>
      </c>
      <c r="W2064" t="s">
        <v>1591</v>
      </c>
      <c r="X2064" t="s">
        <v>1592</v>
      </c>
      <c r="Y2064" t="s">
        <v>209</v>
      </c>
      <c r="Z2064" t="s">
        <v>73</v>
      </c>
      <c r="AA2064" t="str">
        <f>"14304-2875"</f>
        <v>14304-2875</v>
      </c>
      <c r="AB2064" t="s">
        <v>74</v>
      </c>
      <c r="AC2064" t="s">
        <v>75</v>
      </c>
      <c r="AD2064" t="s">
        <v>72</v>
      </c>
      <c r="AE2064" t="s">
        <v>76</v>
      </c>
      <c r="AF2064" t="s">
        <v>4043</v>
      </c>
      <c r="AG2064" t="s">
        <v>77</v>
      </c>
    </row>
    <row r="2065" spans="1:33" x14ac:dyDescent="0.25">
      <c r="A2065" t="str">
        <f>"1366400699"</f>
        <v>1366400699</v>
      </c>
      <c r="B2065" t="str">
        <f>"02343979"</f>
        <v>02343979</v>
      </c>
      <c r="C2065" t="s">
        <v>10683</v>
      </c>
      <c r="D2065" t="s">
        <v>10684</v>
      </c>
      <c r="E2065" t="s">
        <v>10685</v>
      </c>
      <c r="L2065" t="s">
        <v>79</v>
      </c>
      <c r="M2065" t="s">
        <v>72</v>
      </c>
      <c r="R2065" t="s">
        <v>10686</v>
      </c>
      <c r="W2065" t="s">
        <v>10685</v>
      </c>
      <c r="X2065" t="s">
        <v>3692</v>
      </c>
      <c r="Y2065" t="s">
        <v>436</v>
      </c>
      <c r="Z2065" t="s">
        <v>73</v>
      </c>
      <c r="AA2065" t="str">
        <f>"14217-1332"</f>
        <v>14217-1332</v>
      </c>
      <c r="AB2065" t="s">
        <v>74</v>
      </c>
      <c r="AC2065" t="s">
        <v>75</v>
      </c>
      <c r="AD2065" t="s">
        <v>72</v>
      </c>
      <c r="AE2065" t="s">
        <v>76</v>
      </c>
      <c r="AF2065" t="s">
        <v>3961</v>
      </c>
      <c r="AG2065" t="s">
        <v>77</v>
      </c>
    </row>
    <row r="2066" spans="1:33" x14ac:dyDescent="0.25">
      <c r="A2066" t="str">
        <f>"1134132970"</f>
        <v>1134132970</v>
      </c>
      <c r="C2066" t="s">
        <v>10687</v>
      </c>
      <c r="K2066" t="s">
        <v>89</v>
      </c>
      <c r="L2066" t="s">
        <v>71</v>
      </c>
      <c r="M2066" t="s">
        <v>72</v>
      </c>
      <c r="R2066" t="s">
        <v>10688</v>
      </c>
      <c r="S2066" t="s">
        <v>10191</v>
      </c>
      <c r="T2066" t="s">
        <v>221</v>
      </c>
      <c r="U2066" t="s">
        <v>73</v>
      </c>
      <c r="V2066" t="str">
        <f>"142212918"</f>
        <v>142212918</v>
      </c>
      <c r="AC2066" t="s">
        <v>75</v>
      </c>
      <c r="AD2066" t="s">
        <v>72</v>
      </c>
      <c r="AE2066" t="s">
        <v>93</v>
      </c>
      <c r="AF2066" t="s">
        <v>3961</v>
      </c>
      <c r="AG2066" t="s">
        <v>77</v>
      </c>
    </row>
    <row r="2067" spans="1:33" x14ac:dyDescent="0.25">
      <c r="A2067" t="str">
        <f>"1043413503"</f>
        <v>1043413503</v>
      </c>
      <c r="B2067" t="str">
        <f>"03751746"</f>
        <v>03751746</v>
      </c>
      <c r="C2067" t="s">
        <v>10689</v>
      </c>
      <c r="D2067" t="s">
        <v>10690</v>
      </c>
      <c r="E2067" t="s">
        <v>10691</v>
      </c>
      <c r="G2067" t="s">
        <v>3829</v>
      </c>
      <c r="H2067" t="s">
        <v>6844</v>
      </c>
      <c r="J2067" t="s">
        <v>3830</v>
      </c>
      <c r="L2067" t="s">
        <v>71</v>
      </c>
      <c r="M2067" t="s">
        <v>72</v>
      </c>
      <c r="R2067" t="s">
        <v>10692</v>
      </c>
      <c r="W2067" t="s">
        <v>10691</v>
      </c>
      <c r="X2067" t="s">
        <v>978</v>
      </c>
      <c r="Y2067" t="s">
        <v>979</v>
      </c>
      <c r="Z2067" t="s">
        <v>73</v>
      </c>
      <c r="AA2067" t="str">
        <f>"14740-9540"</f>
        <v>14740-9540</v>
      </c>
      <c r="AB2067" t="s">
        <v>74</v>
      </c>
      <c r="AC2067" t="s">
        <v>75</v>
      </c>
      <c r="AD2067" t="s">
        <v>72</v>
      </c>
      <c r="AE2067" t="s">
        <v>76</v>
      </c>
      <c r="AG2067" t="s">
        <v>77</v>
      </c>
    </row>
    <row r="2068" spans="1:33" x14ac:dyDescent="0.25">
      <c r="A2068" t="str">
        <f>"1518925437"</f>
        <v>1518925437</v>
      </c>
      <c r="B2068" t="str">
        <f>"02195980"</f>
        <v>02195980</v>
      </c>
      <c r="C2068" t="s">
        <v>10693</v>
      </c>
      <c r="D2068" t="s">
        <v>1718</v>
      </c>
      <c r="E2068" t="s">
        <v>1719</v>
      </c>
      <c r="G2068" t="s">
        <v>3829</v>
      </c>
      <c r="H2068" t="s">
        <v>6844</v>
      </c>
      <c r="J2068" t="s">
        <v>3830</v>
      </c>
      <c r="L2068" t="s">
        <v>121</v>
      </c>
      <c r="M2068" t="s">
        <v>72</v>
      </c>
      <c r="R2068" t="s">
        <v>1720</v>
      </c>
      <c r="W2068" t="s">
        <v>1719</v>
      </c>
      <c r="X2068" t="s">
        <v>250</v>
      </c>
      <c r="Y2068" t="s">
        <v>217</v>
      </c>
      <c r="Z2068" t="s">
        <v>73</v>
      </c>
      <c r="AA2068" t="str">
        <f>"14760-1513"</f>
        <v>14760-1513</v>
      </c>
      <c r="AB2068" t="s">
        <v>74</v>
      </c>
      <c r="AC2068" t="s">
        <v>75</v>
      </c>
      <c r="AD2068" t="s">
        <v>72</v>
      </c>
      <c r="AE2068" t="s">
        <v>76</v>
      </c>
      <c r="AG2068" t="s">
        <v>77</v>
      </c>
    </row>
    <row r="2069" spans="1:33" x14ac:dyDescent="0.25">
      <c r="A2069" t="str">
        <f>"1386797421"</f>
        <v>1386797421</v>
      </c>
      <c r="B2069" t="str">
        <f>"03939071"</f>
        <v>03939071</v>
      </c>
      <c r="C2069" t="s">
        <v>10694</v>
      </c>
      <c r="D2069" t="s">
        <v>10695</v>
      </c>
      <c r="E2069" t="s">
        <v>10696</v>
      </c>
      <c r="G2069" t="s">
        <v>3829</v>
      </c>
      <c r="H2069" t="s">
        <v>6844</v>
      </c>
      <c r="J2069" t="s">
        <v>3830</v>
      </c>
      <c r="L2069" t="s">
        <v>71</v>
      </c>
      <c r="M2069" t="s">
        <v>72</v>
      </c>
      <c r="R2069" t="s">
        <v>10697</v>
      </c>
      <c r="W2069" t="s">
        <v>10696</v>
      </c>
      <c r="X2069" t="s">
        <v>211</v>
      </c>
      <c r="Y2069" t="s">
        <v>87</v>
      </c>
      <c r="Z2069" t="s">
        <v>73</v>
      </c>
      <c r="AA2069" t="str">
        <f>"10119-0206"</f>
        <v>10119-0206</v>
      </c>
      <c r="AB2069" t="s">
        <v>74</v>
      </c>
      <c r="AC2069" t="s">
        <v>75</v>
      </c>
      <c r="AD2069" t="s">
        <v>72</v>
      </c>
      <c r="AE2069" t="s">
        <v>76</v>
      </c>
      <c r="AG2069" t="s">
        <v>77</v>
      </c>
    </row>
    <row r="2070" spans="1:33" x14ac:dyDescent="0.25">
      <c r="A2070" t="str">
        <f>"1154310407"</f>
        <v>1154310407</v>
      </c>
      <c r="B2070" t="str">
        <f>"03641747"</f>
        <v>03641747</v>
      </c>
      <c r="C2070" t="s">
        <v>10698</v>
      </c>
      <c r="D2070" t="s">
        <v>10699</v>
      </c>
      <c r="E2070" t="s">
        <v>10700</v>
      </c>
      <c r="G2070" t="s">
        <v>3829</v>
      </c>
      <c r="H2070" t="s">
        <v>6844</v>
      </c>
      <c r="J2070" t="s">
        <v>3830</v>
      </c>
      <c r="L2070" t="s">
        <v>71</v>
      </c>
      <c r="M2070" t="s">
        <v>72</v>
      </c>
      <c r="R2070" t="s">
        <v>10701</v>
      </c>
      <c r="W2070" t="s">
        <v>10700</v>
      </c>
      <c r="X2070" t="s">
        <v>10702</v>
      </c>
      <c r="Y2070" t="s">
        <v>3687</v>
      </c>
      <c r="Z2070" t="s">
        <v>177</v>
      </c>
      <c r="AA2070" t="str">
        <f>"16365-2111"</f>
        <v>16365-2111</v>
      </c>
      <c r="AB2070" t="s">
        <v>74</v>
      </c>
      <c r="AC2070" t="s">
        <v>75</v>
      </c>
      <c r="AD2070" t="s">
        <v>72</v>
      </c>
      <c r="AE2070" t="s">
        <v>76</v>
      </c>
      <c r="AG2070" t="s">
        <v>77</v>
      </c>
    </row>
    <row r="2071" spans="1:33" x14ac:dyDescent="0.25">
      <c r="A2071" t="str">
        <f>"1144355017"</f>
        <v>1144355017</v>
      </c>
      <c r="C2071" t="s">
        <v>10703</v>
      </c>
      <c r="G2071" t="s">
        <v>3829</v>
      </c>
      <c r="H2071" t="s">
        <v>6844</v>
      </c>
      <c r="J2071" t="s">
        <v>3830</v>
      </c>
      <c r="K2071" t="s">
        <v>89</v>
      </c>
      <c r="L2071" t="s">
        <v>92</v>
      </c>
      <c r="M2071" t="s">
        <v>72</v>
      </c>
      <c r="R2071" t="s">
        <v>10704</v>
      </c>
      <c r="S2071" t="s">
        <v>3896</v>
      </c>
      <c r="T2071" t="s">
        <v>242</v>
      </c>
      <c r="U2071" t="s">
        <v>73</v>
      </c>
      <c r="V2071" t="str">
        <f>"147016710"</f>
        <v>147016710</v>
      </c>
      <c r="AC2071" t="s">
        <v>75</v>
      </c>
      <c r="AD2071" t="s">
        <v>72</v>
      </c>
      <c r="AE2071" t="s">
        <v>93</v>
      </c>
      <c r="AG2071" t="s">
        <v>77</v>
      </c>
    </row>
    <row r="2072" spans="1:33" x14ac:dyDescent="0.25">
      <c r="A2072" t="str">
        <f>"1295860708"</f>
        <v>1295860708</v>
      </c>
      <c r="C2072" t="s">
        <v>10705</v>
      </c>
      <c r="G2072" t="s">
        <v>3829</v>
      </c>
      <c r="H2072" t="s">
        <v>6844</v>
      </c>
      <c r="J2072" t="s">
        <v>3830</v>
      </c>
      <c r="K2072" t="s">
        <v>89</v>
      </c>
      <c r="L2072" t="s">
        <v>92</v>
      </c>
      <c r="M2072" t="s">
        <v>72</v>
      </c>
      <c r="R2072" t="s">
        <v>1969</v>
      </c>
      <c r="S2072" t="s">
        <v>1970</v>
      </c>
      <c r="T2072" t="s">
        <v>1971</v>
      </c>
      <c r="U2072" t="s">
        <v>73</v>
      </c>
      <c r="V2072" t="str">
        <f>"14742"</f>
        <v>14742</v>
      </c>
      <c r="AC2072" t="s">
        <v>75</v>
      </c>
      <c r="AD2072" t="s">
        <v>72</v>
      </c>
      <c r="AE2072" t="s">
        <v>93</v>
      </c>
      <c r="AG2072" t="s">
        <v>77</v>
      </c>
    </row>
    <row r="2073" spans="1:33" x14ac:dyDescent="0.25">
      <c r="A2073" t="str">
        <f>"1346375888"</f>
        <v>1346375888</v>
      </c>
      <c r="C2073" t="s">
        <v>10706</v>
      </c>
      <c r="G2073" t="s">
        <v>3829</v>
      </c>
      <c r="H2073" t="s">
        <v>6844</v>
      </c>
      <c r="J2073" t="s">
        <v>3830</v>
      </c>
      <c r="K2073" t="s">
        <v>89</v>
      </c>
      <c r="L2073" t="s">
        <v>92</v>
      </c>
      <c r="M2073" t="s">
        <v>72</v>
      </c>
      <c r="R2073" t="s">
        <v>10707</v>
      </c>
      <c r="S2073" t="s">
        <v>10708</v>
      </c>
      <c r="T2073" t="s">
        <v>10709</v>
      </c>
      <c r="U2073" t="s">
        <v>73</v>
      </c>
      <c r="V2073" t="str">
        <f>"147389552"</f>
        <v>147389552</v>
      </c>
      <c r="AC2073" t="s">
        <v>75</v>
      </c>
      <c r="AD2073" t="s">
        <v>72</v>
      </c>
      <c r="AE2073" t="s">
        <v>93</v>
      </c>
      <c r="AG2073" t="s">
        <v>77</v>
      </c>
    </row>
    <row r="2074" spans="1:33" x14ac:dyDescent="0.25">
      <c r="A2074" t="str">
        <f>"1780819276"</f>
        <v>1780819276</v>
      </c>
      <c r="C2074" t="s">
        <v>10710</v>
      </c>
      <c r="G2074" t="s">
        <v>396</v>
      </c>
      <c r="H2074" t="s">
        <v>397</v>
      </c>
      <c r="J2074" t="s">
        <v>398</v>
      </c>
      <c r="K2074" t="s">
        <v>89</v>
      </c>
      <c r="L2074" t="s">
        <v>71</v>
      </c>
      <c r="M2074" t="s">
        <v>72</v>
      </c>
      <c r="R2074" t="s">
        <v>1693</v>
      </c>
      <c r="S2074" t="s">
        <v>1694</v>
      </c>
      <c r="T2074" t="s">
        <v>343</v>
      </c>
      <c r="U2074" t="s">
        <v>73</v>
      </c>
      <c r="V2074" t="str">
        <f>"144119301"</f>
        <v>144119301</v>
      </c>
      <c r="AC2074" t="s">
        <v>75</v>
      </c>
      <c r="AD2074" t="s">
        <v>72</v>
      </c>
      <c r="AE2074" t="s">
        <v>93</v>
      </c>
      <c r="AF2074" t="s">
        <v>4043</v>
      </c>
      <c r="AG2074" t="s">
        <v>77</v>
      </c>
    </row>
    <row r="2075" spans="1:33" x14ac:dyDescent="0.25">
      <c r="A2075" t="str">
        <f>"1922400746"</f>
        <v>1922400746</v>
      </c>
      <c r="C2075" t="s">
        <v>10711</v>
      </c>
      <c r="G2075" t="s">
        <v>396</v>
      </c>
      <c r="H2075" t="s">
        <v>397</v>
      </c>
      <c r="J2075" t="s">
        <v>398</v>
      </c>
      <c r="K2075" t="s">
        <v>89</v>
      </c>
      <c r="L2075" t="s">
        <v>92</v>
      </c>
      <c r="M2075" t="s">
        <v>72</v>
      </c>
      <c r="R2075" t="s">
        <v>3316</v>
      </c>
      <c r="S2075" t="s">
        <v>3317</v>
      </c>
      <c r="T2075" t="s">
        <v>326</v>
      </c>
      <c r="U2075" t="s">
        <v>73</v>
      </c>
      <c r="V2075" t="str">
        <f>"14127"</f>
        <v>14127</v>
      </c>
      <c r="AC2075" t="s">
        <v>75</v>
      </c>
      <c r="AD2075" t="s">
        <v>72</v>
      </c>
      <c r="AE2075" t="s">
        <v>93</v>
      </c>
      <c r="AG2075" t="s">
        <v>77</v>
      </c>
    </row>
    <row r="2076" spans="1:33" x14ac:dyDescent="0.25">
      <c r="A2076" t="str">
        <f>"1619370038"</f>
        <v>1619370038</v>
      </c>
      <c r="C2076" t="s">
        <v>10712</v>
      </c>
      <c r="G2076" t="s">
        <v>396</v>
      </c>
      <c r="H2076" t="s">
        <v>397</v>
      </c>
      <c r="J2076" t="s">
        <v>398</v>
      </c>
      <c r="K2076" t="s">
        <v>89</v>
      </c>
      <c r="L2076" t="s">
        <v>71</v>
      </c>
      <c r="M2076" t="s">
        <v>72</v>
      </c>
      <c r="R2076" t="s">
        <v>1789</v>
      </c>
      <c r="S2076" t="s">
        <v>413</v>
      </c>
      <c r="T2076" t="s">
        <v>326</v>
      </c>
      <c r="U2076" t="s">
        <v>73</v>
      </c>
      <c r="V2076" t="str">
        <f>"141272600"</f>
        <v>141272600</v>
      </c>
      <c r="AC2076" t="s">
        <v>75</v>
      </c>
      <c r="AD2076" t="s">
        <v>72</v>
      </c>
      <c r="AE2076" t="s">
        <v>93</v>
      </c>
      <c r="AF2076" t="s">
        <v>4043</v>
      </c>
      <c r="AG2076" t="s">
        <v>77</v>
      </c>
    </row>
    <row r="2077" spans="1:33" x14ac:dyDescent="0.25">
      <c r="A2077" t="str">
        <f>"1760542682"</f>
        <v>1760542682</v>
      </c>
      <c r="C2077" t="s">
        <v>10713</v>
      </c>
      <c r="G2077" t="s">
        <v>396</v>
      </c>
      <c r="H2077" t="s">
        <v>397</v>
      </c>
      <c r="J2077" t="s">
        <v>398</v>
      </c>
      <c r="K2077" t="s">
        <v>89</v>
      </c>
      <c r="L2077" t="s">
        <v>71</v>
      </c>
      <c r="M2077" t="s">
        <v>72</v>
      </c>
      <c r="R2077" t="s">
        <v>2590</v>
      </c>
      <c r="S2077" t="s">
        <v>1092</v>
      </c>
      <c r="T2077" t="s">
        <v>117</v>
      </c>
      <c r="U2077" t="s">
        <v>73</v>
      </c>
      <c r="V2077" t="str">
        <f>"142092111"</f>
        <v>142092111</v>
      </c>
      <c r="AC2077" t="s">
        <v>75</v>
      </c>
      <c r="AD2077" t="s">
        <v>72</v>
      </c>
      <c r="AE2077" t="s">
        <v>93</v>
      </c>
      <c r="AG2077" t="s">
        <v>77</v>
      </c>
    </row>
    <row r="2078" spans="1:33" x14ac:dyDescent="0.25">
      <c r="A2078" t="str">
        <f>"1598098634"</f>
        <v>1598098634</v>
      </c>
      <c r="C2078" t="s">
        <v>10714</v>
      </c>
      <c r="G2078" t="s">
        <v>396</v>
      </c>
      <c r="H2078" t="s">
        <v>397</v>
      </c>
      <c r="J2078" t="s">
        <v>398</v>
      </c>
      <c r="K2078" t="s">
        <v>89</v>
      </c>
      <c r="L2078" t="s">
        <v>92</v>
      </c>
      <c r="M2078" t="s">
        <v>72</v>
      </c>
      <c r="R2078" t="s">
        <v>999</v>
      </c>
      <c r="S2078" t="s">
        <v>486</v>
      </c>
      <c r="T2078" t="s">
        <v>311</v>
      </c>
      <c r="U2078" t="s">
        <v>73</v>
      </c>
      <c r="V2078" t="str">
        <f>"145691326"</f>
        <v>145691326</v>
      </c>
      <c r="AC2078" t="s">
        <v>75</v>
      </c>
      <c r="AD2078" t="s">
        <v>72</v>
      </c>
      <c r="AE2078" t="s">
        <v>93</v>
      </c>
      <c r="AF2078" t="s">
        <v>4043</v>
      </c>
      <c r="AG2078" t="s">
        <v>77</v>
      </c>
    </row>
    <row r="2079" spans="1:33" x14ac:dyDescent="0.25">
      <c r="A2079" t="str">
        <f>"1477629715"</f>
        <v>1477629715</v>
      </c>
      <c r="C2079" t="s">
        <v>10715</v>
      </c>
      <c r="G2079" t="s">
        <v>396</v>
      </c>
      <c r="H2079" t="s">
        <v>397</v>
      </c>
      <c r="J2079" t="s">
        <v>398</v>
      </c>
      <c r="K2079" t="s">
        <v>89</v>
      </c>
      <c r="L2079" t="s">
        <v>92</v>
      </c>
      <c r="M2079" t="s">
        <v>72</v>
      </c>
      <c r="R2079" t="s">
        <v>992</v>
      </c>
      <c r="S2079" t="s">
        <v>993</v>
      </c>
      <c r="T2079" t="s">
        <v>117</v>
      </c>
      <c r="U2079" t="s">
        <v>73</v>
      </c>
      <c r="V2079" t="str">
        <f>"142090424"</f>
        <v>142090424</v>
      </c>
      <c r="AC2079" t="s">
        <v>75</v>
      </c>
      <c r="AD2079" t="s">
        <v>72</v>
      </c>
      <c r="AE2079" t="s">
        <v>93</v>
      </c>
      <c r="AF2079" t="s">
        <v>4043</v>
      </c>
      <c r="AG2079" t="s">
        <v>77</v>
      </c>
    </row>
    <row r="2080" spans="1:33" x14ac:dyDescent="0.25">
      <c r="A2080" t="str">
        <f>"1871843268"</f>
        <v>1871843268</v>
      </c>
      <c r="C2080" t="s">
        <v>10716</v>
      </c>
      <c r="G2080" t="s">
        <v>5692</v>
      </c>
      <c r="H2080" t="s">
        <v>1860</v>
      </c>
      <c r="J2080" t="s">
        <v>5693</v>
      </c>
      <c r="K2080" t="s">
        <v>89</v>
      </c>
      <c r="L2080" t="s">
        <v>71</v>
      </c>
      <c r="M2080" t="s">
        <v>72</v>
      </c>
      <c r="R2080" t="s">
        <v>10717</v>
      </c>
      <c r="S2080" t="s">
        <v>644</v>
      </c>
      <c r="T2080" t="s">
        <v>117</v>
      </c>
      <c r="U2080" t="s">
        <v>73</v>
      </c>
      <c r="V2080" t="str">
        <f>"142152814"</f>
        <v>142152814</v>
      </c>
      <c r="AC2080" t="s">
        <v>75</v>
      </c>
      <c r="AD2080" t="s">
        <v>72</v>
      </c>
      <c r="AE2080" t="s">
        <v>93</v>
      </c>
      <c r="AG2080" t="s">
        <v>77</v>
      </c>
    </row>
    <row r="2081" spans="1:33" x14ac:dyDescent="0.25">
      <c r="A2081" t="str">
        <f>"1306006820"</f>
        <v>1306006820</v>
      </c>
      <c r="C2081" t="s">
        <v>10718</v>
      </c>
      <c r="G2081" t="s">
        <v>5692</v>
      </c>
      <c r="H2081" t="s">
        <v>1860</v>
      </c>
      <c r="J2081" t="s">
        <v>5693</v>
      </c>
      <c r="K2081" t="s">
        <v>89</v>
      </c>
      <c r="L2081" t="s">
        <v>92</v>
      </c>
      <c r="M2081" t="s">
        <v>72</v>
      </c>
      <c r="R2081" t="s">
        <v>10719</v>
      </c>
      <c r="S2081" t="s">
        <v>1862</v>
      </c>
      <c r="T2081" t="s">
        <v>117</v>
      </c>
      <c r="U2081" t="s">
        <v>73</v>
      </c>
      <c r="V2081" t="str">
        <f>"142131503"</f>
        <v>142131503</v>
      </c>
      <c r="AC2081" t="s">
        <v>75</v>
      </c>
      <c r="AD2081" t="s">
        <v>72</v>
      </c>
      <c r="AE2081" t="s">
        <v>93</v>
      </c>
      <c r="AG2081" t="s">
        <v>77</v>
      </c>
    </row>
    <row r="2082" spans="1:33" x14ac:dyDescent="0.25">
      <c r="A2082" t="str">
        <f>"1639375447"</f>
        <v>1639375447</v>
      </c>
      <c r="C2082" t="s">
        <v>10720</v>
      </c>
      <c r="G2082" t="s">
        <v>5692</v>
      </c>
      <c r="H2082" t="s">
        <v>1860</v>
      </c>
      <c r="J2082" t="s">
        <v>5693</v>
      </c>
      <c r="K2082" t="s">
        <v>89</v>
      </c>
      <c r="L2082" t="s">
        <v>71</v>
      </c>
      <c r="M2082" t="s">
        <v>72</v>
      </c>
      <c r="R2082" t="s">
        <v>10721</v>
      </c>
      <c r="S2082" t="s">
        <v>1862</v>
      </c>
      <c r="T2082" t="s">
        <v>117</v>
      </c>
      <c r="U2082" t="s">
        <v>73</v>
      </c>
      <c r="V2082" t="str">
        <f>"142131503"</f>
        <v>142131503</v>
      </c>
      <c r="AC2082" t="s">
        <v>75</v>
      </c>
      <c r="AD2082" t="s">
        <v>72</v>
      </c>
      <c r="AE2082" t="s">
        <v>93</v>
      </c>
      <c r="AG2082" t="s">
        <v>77</v>
      </c>
    </row>
    <row r="2083" spans="1:33" x14ac:dyDescent="0.25">
      <c r="A2083" t="str">
        <f>"1811157233"</f>
        <v>1811157233</v>
      </c>
      <c r="C2083" t="s">
        <v>10722</v>
      </c>
      <c r="G2083" t="s">
        <v>5692</v>
      </c>
      <c r="H2083" t="s">
        <v>1860</v>
      </c>
      <c r="J2083" t="s">
        <v>5693</v>
      </c>
      <c r="K2083" t="s">
        <v>89</v>
      </c>
      <c r="L2083" t="s">
        <v>92</v>
      </c>
      <c r="M2083" t="s">
        <v>72</v>
      </c>
      <c r="R2083" t="s">
        <v>10723</v>
      </c>
      <c r="S2083" t="s">
        <v>1862</v>
      </c>
      <c r="T2083" t="s">
        <v>117</v>
      </c>
      <c r="U2083" t="s">
        <v>73</v>
      </c>
      <c r="V2083" t="str">
        <f>"142131503"</f>
        <v>142131503</v>
      </c>
      <c r="AC2083" t="s">
        <v>75</v>
      </c>
      <c r="AD2083" t="s">
        <v>72</v>
      </c>
      <c r="AE2083" t="s">
        <v>93</v>
      </c>
      <c r="AG2083" t="s">
        <v>77</v>
      </c>
    </row>
    <row r="2084" spans="1:33" x14ac:dyDescent="0.25">
      <c r="A2084" t="str">
        <f>"1285040840"</f>
        <v>1285040840</v>
      </c>
      <c r="C2084" t="s">
        <v>10724</v>
      </c>
      <c r="G2084" t="s">
        <v>5692</v>
      </c>
      <c r="H2084" t="s">
        <v>1860</v>
      </c>
      <c r="J2084" t="s">
        <v>5693</v>
      </c>
      <c r="K2084" t="s">
        <v>89</v>
      </c>
      <c r="L2084" t="s">
        <v>92</v>
      </c>
      <c r="M2084" t="s">
        <v>72</v>
      </c>
      <c r="R2084" t="s">
        <v>2090</v>
      </c>
      <c r="S2084" t="s">
        <v>925</v>
      </c>
      <c r="T2084" t="s">
        <v>117</v>
      </c>
      <c r="U2084" t="s">
        <v>73</v>
      </c>
      <c r="V2084" t="str">
        <f>"142041811"</f>
        <v>142041811</v>
      </c>
      <c r="AC2084" t="s">
        <v>75</v>
      </c>
      <c r="AD2084" t="s">
        <v>72</v>
      </c>
      <c r="AE2084" t="s">
        <v>93</v>
      </c>
      <c r="AG2084" t="s">
        <v>77</v>
      </c>
    </row>
    <row r="2085" spans="1:33" x14ac:dyDescent="0.25">
      <c r="A2085" t="str">
        <f>"1447410857"</f>
        <v>1447410857</v>
      </c>
      <c r="C2085" t="s">
        <v>10725</v>
      </c>
      <c r="G2085" t="s">
        <v>5692</v>
      </c>
      <c r="H2085" t="s">
        <v>1860</v>
      </c>
      <c r="J2085" t="s">
        <v>5693</v>
      </c>
      <c r="K2085" t="s">
        <v>89</v>
      </c>
      <c r="L2085" t="s">
        <v>92</v>
      </c>
      <c r="M2085" t="s">
        <v>72</v>
      </c>
      <c r="R2085" t="s">
        <v>10726</v>
      </c>
      <c r="S2085" t="s">
        <v>1862</v>
      </c>
      <c r="T2085" t="s">
        <v>117</v>
      </c>
      <c r="U2085" t="s">
        <v>73</v>
      </c>
      <c r="V2085" t="str">
        <f>"142131503"</f>
        <v>142131503</v>
      </c>
      <c r="AC2085" t="s">
        <v>75</v>
      </c>
      <c r="AD2085" t="s">
        <v>72</v>
      </c>
      <c r="AE2085" t="s">
        <v>93</v>
      </c>
      <c r="AG2085" t="s">
        <v>77</v>
      </c>
    </row>
    <row r="2086" spans="1:33" x14ac:dyDescent="0.25">
      <c r="A2086" t="str">
        <f>"1376703702"</f>
        <v>1376703702</v>
      </c>
      <c r="C2086" t="s">
        <v>10727</v>
      </c>
      <c r="G2086" t="s">
        <v>5692</v>
      </c>
      <c r="H2086" t="s">
        <v>1860</v>
      </c>
      <c r="J2086" t="s">
        <v>5693</v>
      </c>
      <c r="K2086" t="s">
        <v>89</v>
      </c>
      <c r="L2086" t="s">
        <v>92</v>
      </c>
      <c r="M2086" t="s">
        <v>72</v>
      </c>
      <c r="R2086" t="s">
        <v>10728</v>
      </c>
      <c r="S2086" t="s">
        <v>1862</v>
      </c>
      <c r="T2086" t="s">
        <v>117</v>
      </c>
      <c r="U2086" t="s">
        <v>73</v>
      </c>
      <c r="V2086" t="str">
        <f>"142131503"</f>
        <v>142131503</v>
      </c>
      <c r="AC2086" t="s">
        <v>75</v>
      </c>
      <c r="AD2086" t="s">
        <v>72</v>
      </c>
      <c r="AE2086" t="s">
        <v>93</v>
      </c>
      <c r="AG2086" t="s">
        <v>77</v>
      </c>
    </row>
    <row r="2087" spans="1:33" x14ac:dyDescent="0.25">
      <c r="A2087" t="str">
        <f>"1134240054"</f>
        <v>1134240054</v>
      </c>
      <c r="B2087" t="str">
        <f>"02989866"</f>
        <v>02989866</v>
      </c>
      <c r="C2087" t="s">
        <v>10729</v>
      </c>
      <c r="D2087" t="s">
        <v>10730</v>
      </c>
      <c r="E2087" t="s">
        <v>10731</v>
      </c>
      <c r="G2087" t="s">
        <v>5692</v>
      </c>
      <c r="H2087" t="s">
        <v>1860</v>
      </c>
      <c r="J2087" t="s">
        <v>5693</v>
      </c>
      <c r="L2087" t="s">
        <v>71</v>
      </c>
      <c r="M2087" t="s">
        <v>72</v>
      </c>
      <c r="R2087" t="s">
        <v>10731</v>
      </c>
      <c r="W2087" t="s">
        <v>10731</v>
      </c>
      <c r="X2087" t="s">
        <v>10732</v>
      </c>
      <c r="Y2087" t="s">
        <v>117</v>
      </c>
      <c r="Z2087" t="s">
        <v>73</v>
      </c>
      <c r="AA2087" t="str">
        <f>"14240-2662"</f>
        <v>14240-2662</v>
      </c>
      <c r="AB2087" t="s">
        <v>74</v>
      </c>
      <c r="AC2087" t="s">
        <v>75</v>
      </c>
      <c r="AD2087" t="s">
        <v>72</v>
      </c>
      <c r="AE2087" t="s">
        <v>76</v>
      </c>
      <c r="AG2087" t="s">
        <v>77</v>
      </c>
    </row>
    <row r="2088" spans="1:33" x14ac:dyDescent="0.25">
      <c r="A2088" t="str">
        <f>"1154672327"</f>
        <v>1154672327</v>
      </c>
      <c r="C2088" t="s">
        <v>10733</v>
      </c>
      <c r="G2088" t="s">
        <v>5692</v>
      </c>
      <c r="H2088" t="s">
        <v>1860</v>
      </c>
      <c r="J2088" t="s">
        <v>5693</v>
      </c>
      <c r="K2088" t="s">
        <v>89</v>
      </c>
      <c r="L2088" t="s">
        <v>92</v>
      </c>
      <c r="M2088" t="s">
        <v>72</v>
      </c>
      <c r="R2088" t="s">
        <v>10734</v>
      </c>
      <c r="S2088" t="s">
        <v>1862</v>
      </c>
      <c r="T2088" t="s">
        <v>117</v>
      </c>
      <c r="U2088" t="s">
        <v>73</v>
      </c>
      <c r="V2088" t="str">
        <f>"142131503"</f>
        <v>142131503</v>
      </c>
      <c r="AC2088" t="s">
        <v>75</v>
      </c>
      <c r="AD2088" t="s">
        <v>72</v>
      </c>
      <c r="AE2088" t="s">
        <v>93</v>
      </c>
      <c r="AG2088" t="s">
        <v>77</v>
      </c>
    </row>
    <row r="2089" spans="1:33" x14ac:dyDescent="0.25">
      <c r="A2089" t="str">
        <f>"1639494388"</f>
        <v>1639494388</v>
      </c>
      <c r="B2089" t="str">
        <f>"03296788"</f>
        <v>03296788</v>
      </c>
      <c r="C2089" t="s">
        <v>10735</v>
      </c>
      <c r="D2089" t="s">
        <v>10736</v>
      </c>
      <c r="E2089" t="s">
        <v>10737</v>
      </c>
      <c r="G2089" t="s">
        <v>5692</v>
      </c>
      <c r="H2089" t="s">
        <v>1860</v>
      </c>
      <c r="J2089" t="s">
        <v>5693</v>
      </c>
      <c r="L2089" t="s">
        <v>71</v>
      </c>
      <c r="M2089" t="s">
        <v>72</v>
      </c>
      <c r="R2089" t="s">
        <v>10738</v>
      </c>
      <c r="W2089" t="s">
        <v>10737</v>
      </c>
      <c r="X2089" t="s">
        <v>369</v>
      </c>
      <c r="Y2089" t="s">
        <v>117</v>
      </c>
      <c r="Z2089" t="s">
        <v>73</v>
      </c>
      <c r="AA2089" t="str">
        <f>"14209-2412"</f>
        <v>14209-2412</v>
      </c>
      <c r="AB2089" t="s">
        <v>74</v>
      </c>
      <c r="AC2089" t="s">
        <v>75</v>
      </c>
      <c r="AD2089" t="s">
        <v>72</v>
      </c>
      <c r="AE2089" t="s">
        <v>76</v>
      </c>
      <c r="AG2089" t="s">
        <v>77</v>
      </c>
    </row>
    <row r="2090" spans="1:33" x14ac:dyDescent="0.25">
      <c r="A2090" t="str">
        <f>"1184820904"</f>
        <v>1184820904</v>
      </c>
      <c r="C2090" t="s">
        <v>10739</v>
      </c>
      <c r="G2090" t="s">
        <v>5692</v>
      </c>
      <c r="H2090" t="s">
        <v>1860</v>
      </c>
      <c r="J2090" t="s">
        <v>5693</v>
      </c>
      <c r="K2090" t="s">
        <v>89</v>
      </c>
      <c r="L2090" t="s">
        <v>71</v>
      </c>
      <c r="M2090" t="s">
        <v>72</v>
      </c>
      <c r="R2090" t="s">
        <v>10740</v>
      </c>
      <c r="S2090" t="s">
        <v>1862</v>
      </c>
      <c r="T2090" t="s">
        <v>117</v>
      </c>
      <c r="U2090" t="s">
        <v>73</v>
      </c>
      <c r="V2090" t="str">
        <f>"142131503"</f>
        <v>142131503</v>
      </c>
      <c r="AC2090" t="s">
        <v>75</v>
      </c>
      <c r="AD2090" t="s">
        <v>72</v>
      </c>
      <c r="AE2090" t="s">
        <v>93</v>
      </c>
      <c r="AG2090" t="s">
        <v>77</v>
      </c>
    </row>
    <row r="2091" spans="1:33" x14ac:dyDescent="0.25">
      <c r="A2091" t="str">
        <f>"1447454681"</f>
        <v>1447454681</v>
      </c>
      <c r="B2091" t="str">
        <f>"02627085"</f>
        <v>02627085</v>
      </c>
      <c r="C2091" t="s">
        <v>10741</v>
      </c>
      <c r="D2091" t="s">
        <v>10742</v>
      </c>
      <c r="E2091" t="s">
        <v>10743</v>
      </c>
      <c r="G2091" t="s">
        <v>5692</v>
      </c>
      <c r="H2091" t="s">
        <v>1860</v>
      </c>
      <c r="J2091" t="s">
        <v>5693</v>
      </c>
      <c r="L2091" t="s">
        <v>71</v>
      </c>
      <c r="M2091" t="s">
        <v>72</v>
      </c>
      <c r="R2091" t="s">
        <v>10743</v>
      </c>
      <c r="W2091" t="s">
        <v>10744</v>
      </c>
      <c r="X2091" t="s">
        <v>10743</v>
      </c>
      <c r="Y2091" t="s">
        <v>117</v>
      </c>
      <c r="Z2091" t="s">
        <v>73</v>
      </c>
      <c r="AA2091" t="str">
        <f>"14213-1503"</f>
        <v>14213-1503</v>
      </c>
      <c r="AB2091" t="s">
        <v>104</v>
      </c>
      <c r="AC2091" t="s">
        <v>75</v>
      </c>
      <c r="AD2091" t="s">
        <v>72</v>
      </c>
      <c r="AE2091" t="s">
        <v>76</v>
      </c>
      <c r="AG2091" t="s">
        <v>77</v>
      </c>
    </row>
    <row r="2092" spans="1:33" x14ac:dyDescent="0.25">
      <c r="A2092" t="str">
        <f>"1043387152"</f>
        <v>1043387152</v>
      </c>
      <c r="B2092" t="str">
        <f>"02993786"</f>
        <v>02993786</v>
      </c>
      <c r="C2092" t="s">
        <v>10745</v>
      </c>
      <c r="D2092" t="s">
        <v>3820</v>
      </c>
      <c r="E2092" t="s">
        <v>3821</v>
      </c>
      <c r="G2092" t="s">
        <v>10746</v>
      </c>
      <c r="H2092" t="s">
        <v>631</v>
      </c>
      <c r="J2092" t="s">
        <v>10747</v>
      </c>
      <c r="L2092" t="s">
        <v>402</v>
      </c>
      <c r="M2092" t="s">
        <v>81</v>
      </c>
      <c r="R2092" t="s">
        <v>3822</v>
      </c>
      <c r="W2092" t="s">
        <v>3823</v>
      </c>
      <c r="X2092" t="s">
        <v>3824</v>
      </c>
      <c r="Y2092" t="s">
        <v>209</v>
      </c>
      <c r="Z2092" t="s">
        <v>73</v>
      </c>
      <c r="AA2092" t="str">
        <f>"14301-2232"</f>
        <v>14301-2232</v>
      </c>
      <c r="AB2092" t="s">
        <v>83</v>
      </c>
      <c r="AC2092" t="s">
        <v>75</v>
      </c>
      <c r="AD2092" t="s">
        <v>72</v>
      </c>
      <c r="AE2092" t="s">
        <v>76</v>
      </c>
      <c r="AF2092" t="s">
        <v>4879</v>
      </c>
      <c r="AG2092" t="s">
        <v>77</v>
      </c>
    </row>
    <row r="2093" spans="1:33" x14ac:dyDescent="0.25">
      <c r="A2093" t="str">
        <f>"1730256231"</f>
        <v>1730256231</v>
      </c>
      <c r="B2093" t="str">
        <f>"02890077"</f>
        <v>02890077</v>
      </c>
      <c r="C2093" t="s">
        <v>10748</v>
      </c>
      <c r="D2093" t="s">
        <v>1622</v>
      </c>
      <c r="E2093" t="s">
        <v>1623</v>
      </c>
      <c r="G2093" t="s">
        <v>10746</v>
      </c>
      <c r="H2093" t="s">
        <v>631</v>
      </c>
      <c r="J2093" t="s">
        <v>10749</v>
      </c>
      <c r="L2093" t="s">
        <v>11</v>
      </c>
      <c r="M2093" t="s">
        <v>81</v>
      </c>
      <c r="R2093" t="s">
        <v>1621</v>
      </c>
      <c r="W2093" t="s">
        <v>1623</v>
      </c>
      <c r="X2093" t="s">
        <v>1624</v>
      </c>
      <c r="Y2093" t="s">
        <v>307</v>
      </c>
      <c r="Z2093" t="s">
        <v>73</v>
      </c>
      <c r="AA2093" t="str">
        <f>"14020-3650"</f>
        <v>14020-3650</v>
      </c>
      <c r="AB2093" t="s">
        <v>83</v>
      </c>
      <c r="AC2093" t="s">
        <v>75</v>
      </c>
      <c r="AD2093" t="s">
        <v>72</v>
      </c>
      <c r="AE2093" t="s">
        <v>76</v>
      </c>
      <c r="AF2093" t="s">
        <v>4879</v>
      </c>
      <c r="AG2093" t="s">
        <v>77</v>
      </c>
    </row>
    <row r="2094" spans="1:33" x14ac:dyDescent="0.25">
      <c r="A2094" t="str">
        <f>"1447241088"</f>
        <v>1447241088</v>
      </c>
      <c r="B2094" t="str">
        <f>"00955720"</f>
        <v>00955720</v>
      </c>
      <c r="C2094" t="s">
        <v>10750</v>
      </c>
      <c r="D2094" t="s">
        <v>1040</v>
      </c>
      <c r="E2094" t="s">
        <v>1041</v>
      </c>
      <c r="G2094" t="s">
        <v>10751</v>
      </c>
      <c r="H2094" t="s">
        <v>10752</v>
      </c>
      <c r="J2094" t="s">
        <v>10753</v>
      </c>
      <c r="L2094" t="s">
        <v>126</v>
      </c>
      <c r="M2094" t="s">
        <v>72</v>
      </c>
      <c r="R2094" t="s">
        <v>1039</v>
      </c>
      <c r="W2094" t="s">
        <v>1041</v>
      </c>
      <c r="X2094" t="s">
        <v>1043</v>
      </c>
      <c r="Y2094" t="s">
        <v>247</v>
      </c>
      <c r="Z2094" t="s">
        <v>73</v>
      </c>
      <c r="AA2094" t="str">
        <f>"14227-1416"</f>
        <v>14227-1416</v>
      </c>
      <c r="AB2094" t="s">
        <v>109</v>
      </c>
      <c r="AC2094" t="s">
        <v>75</v>
      </c>
      <c r="AD2094" t="s">
        <v>72</v>
      </c>
      <c r="AE2094" t="s">
        <v>76</v>
      </c>
      <c r="AF2094" t="s">
        <v>10435</v>
      </c>
      <c r="AG2094" t="s">
        <v>77</v>
      </c>
    </row>
    <row r="2095" spans="1:33" x14ac:dyDescent="0.25">
      <c r="A2095" t="str">
        <f>"1750343141"</f>
        <v>1750343141</v>
      </c>
      <c r="B2095" t="str">
        <f>"01088802"</f>
        <v>01088802</v>
      </c>
      <c r="C2095" t="s">
        <v>10754</v>
      </c>
      <c r="D2095" t="s">
        <v>987</v>
      </c>
      <c r="E2095" t="s">
        <v>988</v>
      </c>
      <c r="G2095" t="s">
        <v>5327</v>
      </c>
      <c r="H2095" t="s">
        <v>579</v>
      </c>
      <c r="J2095" t="s">
        <v>5328</v>
      </c>
      <c r="L2095" t="s">
        <v>79</v>
      </c>
      <c r="M2095" t="s">
        <v>72</v>
      </c>
      <c r="R2095" t="s">
        <v>989</v>
      </c>
      <c r="W2095" t="s">
        <v>988</v>
      </c>
      <c r="X2095" t="s">
        <v>990</v>
      </c>
      <c r="Y2095" t="s">
        <v>117</v>
      </c>
      <c r="Z2095" t="s">
        <v>73</v>
      </c>
      <c r="AA2095" t="str">
        <f>"14222-2035"</f>
        <v>14222-2035</v>
      </c>
      <c r="AB2095" t="s">
        <v>74</v>
      </c>
      <c r="AC2095" t="s">
        <v>75</v>
      </c>
      <c r="AD2095" t="s">
        <v>72</v>
      </c>
      <c r="AE2095" t="s">
        <v>76</v>
      </c>
      <c r="AF2095" t="s">
        <v>3974</v>
      </c>
      <c r="AG2095" t="s">
        <v>77</v>
      </c>
    </row>
    <row r="2096" spans="1:33" x14ac:dyDescent="0.25">
      <c r="A2096" t="str">
        <f>"1366424848"</f>
        <v>1366424848</v>
      </c>
      <c r="B2096" t="str">
        <f>"01353180"</f>
        <v>01353180</v>
      </c>
      <c r="C2096" t="s">
        <v>10755</v>
      </c>
      <c r="D2096" t="s">
        <v>3350</v>
      </c>
      <c r="E2096" t="s">
        <v>3351</v>
      </c>
      <c r="G2096" t="s">
        <v>10755</v>
      </c>
      <c r="H2096" t="s">
        <v>10756</v>
      </c>
      <c r="J2096" t="s">
        <v>10757</v>
      </c>
      <c r="L2096" t="s">
        <v>79</v>
      </c>
      <c r="M2096" t="s">
        <v>72</v>
      </c>
      <c r="R2096" t="s">
        <v>3352</v>
      </c>
      <c r="W2096" t="s">
        <v>3353</v>
      </c>
      <c r="X2096" t="s">
        <v>3354</v>
      </c>
      <c r="Y2096" t="s">
        <v>317</v>
      </c>
      <c r="Z2096" t="s">
        <v>73</v>
      </c>
      <c r="AA2096" t="str">
        <f>"14218-1820"</f>
        <v>14218-1820</v>
      </c>
      <c r="AB2096" t="s">
        <v>113</v>
      </c>
      <c r="AC2096" t="s">
        <v>75</v>
      </c>
      <c r="AD2096" t="s">
        <v>72</v>
      </c>
      <c r="AE2096" t="s">
        <v>76</v>
      </c>
      <c r="AF2096" t="s">
        <v>3974</v>
      </c>
      <c r="AG2096" t="s">
        <v>77</v>
      </c>
    </row>
    <row r="2097" spans="1:33" x14ac:dyDescent="0.25">
      <c r="A2097" t="str">
        <f>"1346219656"</f>
        <v>1346219656</v>
      </c>
      <c r="B2097" t="str">
        <f>"01274428"</f>
        <v>01274428</v>
      </c>
      <c r="C2097" t="s">
        <v>10758</v>
      </c>
      <c r="D2097" t="s">
        <v>10759</v>
      </c>
      <c r="E2097" t="s">
        <v>10760</v>
      </c>
      <c r="G2097" t="s">
        <v>4797</v>
      </c>
      <c r="H2097" t="s">
        <v>4798</v>
      </c>
      <c r="I2097">
        <v>104</v>
      </c>
      <c r="J2097" t="s">
        <v>4799</v>
      </c>
      <c r="L2097" t="s">
        <v>79</v>
      </c>
      <c r="M2097" t="s">
        <v>72</v>
      </c>
      <c r="R2097" t="s">
        <v>10761</v>
      </c>
      <c r="W2097" t="s">
        <v>10760</v>
      </c>
      <c r="X2097" t="s">
        <v>3610</v>
      </c>
      <c r="Y2097" t="s">
        <v>408</v>
      </c>
      <c r="Z2097" t="s">
        <v>73</v>
      </c>
      <c r="AA2097" t="str">
        <f>"14757-1120"</f>
        <v>14757-1120</v>
      </c>
      <c r="AB2097" t="s">
        <v>74</v>
      </c>
      <c r="AC2097" t="s">
        <v>75</v>
      </c>
      <c r="AD2097" t="s">
        <v>72</v>
      </c>
      <c r="AE2097" t="s">
        <v>76</v>
      </c>
      <c r="AF2097" t="s">
        <v>4049</v>
      </c>
      <c r="AG2097" t="s">
        <v>77</v>
      </c>
    </row>
    <row r="2098" spans="1:33" x14ac:dyDescent="0.25">
      <c r="A2098" t="str">
        <f>"1235409673"</f>
        <v>1235409673</v>
      </c>
      <c r="B2098" t="str">
        <f>"03437432"</f>
        <v>03437432</v>
      </c>
      <c r="C2098" t="s">
        <v>10762</v>
      </c>
      <c r="D2098" t="s">
        <v>10763</v>
      </c>
      <c r="E2098" t="s">
        <v>10764</v>
      </c>
      <c r="G2098" t="s">
        <v>5402</v>
      </c>
      <c r="H2098" t="s">
        <v>877</v>
      </c>
      <c r="J2098" t="s">
        <v>5403</v>
      </c>
      <c r="L2098" t="s">
        <v>80</v>
      </c>
      <c r="M2098" t="s">
        <v>72</v>
      </c>
      <c r="R2098" t="s">
        <v>10764</v>
      </c>
      <c r="W2098" t="s">
        <v>10764</v>
      </c>
      <c r="X2098" t="s">
        <v>1782</v>
      </c>
      <c r="Y2098" t="s">
        <v>206</v>
      </c>
      <c r="Z2098" t="s">
        <v>73</v>
      </c>
      <c r="AA2098" t="str">
        <f>"14048-2515"</f>
        <v>14048-2515</v>
      </c>
      <c r="AB2098" t="s">
        <v>74</v>
      </c>
      <c r="AC2098" t="s">
        <v>75</v>
      </c>
      <c r="AD2098" t="s">
        <v>72</v>
      </c>
      <c r="AE2098" t="s">
        <v>76</v>
      </c>
      <c r="AF2098" t="s">
        <v>4049</v>
      </c>
      <c r="AG2098" t="s">
        <v>77</v>
      </c>
    </row>
    <row r="2099" spans="1:33" x14ac:dyDescent="0.25">
      <c r="A2099" t="str">
        <f>"1750357810"</f>
        <v>1750357810</v>
      </c>
      <c r="B2099" t="str">
        <f>"02212504"</f>
        <v>02212504</v>
      </c>
      <c r="C2099" t="s">
        <v>10765</v>
      </c>
      <c r="D2099" t="s">
        <v>1564</v>
      </c>
      <c r="E2099" t="s">
        <v>1565</v>
      </c>
      <c r="G2099" t="s">
        <v>5402</v>
      </c>
      <c r="H2099" t="s">
        <v>877</v>
      </c>
      <c r="J2099" t="s">
        <v>5403</v>
      </c>
      <c r="L2099" t="s">
        <v>80</v>
      </c>
      <c r="M2099" t="s">
        <v>72</v>
      </c>
      <c r="R2099" t="s">
        <v>1567</v>
      </c>
      <c r="W2099" t="s">
        <v>1567</v>
      </c>
      <c r="X2099" t="s">
        <v>448</v>
      </c>
      <c r="Y2099" t="s">
        <v>206</v>
      </c>
      <c r="Z2099" t="s">
        <v>73</v>
      </c>
      <c r="AA2099" t="str">
        <f>"14048-2514"</f>
        <v>14048-2514</v>
      </c>
      <c r="AB2099" t="s">
        <v>74</v>
      </c>
      <c r="AC2099" t="s">
        <v>75</v>
      </c>
      <c r="AD2099" t="s">
        <v>72</v>
      </c>
      <c r="AE2099" t="s">
        <v>76</v>
      </c>
      <c r="AF2099" t="s">
        <v>4049</v>
      </c>
      <c r="AG2099" t="s">
        <v>77</v>
      </c>
    </row>
    <row r="2100" spans="1:33" x14ac:dyDescent="0.25">
      <c r="A2100" t="str">
        <f>"1497784789"</f>
        <v>1497784789</v>
      </c>
      <c r="B2100" t="str">
        <f>"02163913"</f>
        <v>02163913</v>
      </c>
      <c r="C2100" t="s">
        <v>10766</v>
      </c>
      <c r="D2100" t="s">
        <v>10767</v>
      </c>
      <c r="E2100" t="s">
        <v>10768</v>
      </c>
      <c r="G2100" t="s">
        <v>4786</v>
      </c>
      <c r="H2100" t="s">
        <v>5372</v>
      </c>
      <c r="J2100" t="s">
        <v>4787</v>
      </c>
      <c r="L2100" t="s">
        <v>79</v>
      </c>
      <c r="M2100" t="s">
        <v>72</v>
      </c>
      <c r="R2100" t="s">
        <v>10769</v>
      </c>
      <c r="W2100" t="s">
        <v>10768</v>
      </c>
      <c r="X2100" t="s">
        <v>10770</v>
      </c>
      <c r="Y2100" t="s">
        <v>354</v>
      </c>
      <c r="Z2100" t="s">
        <v>73</v>
      </c>
      <c r="AA2100" t="str">
        <f>"14787-1401"</f>
        <v>14787-1401</v>
      </c>
      <c r="AB2100" t="s">
        <v>74</v>
      </c>
      <c r="AC2100" t="s">
        <v>75</v>
      </c>
      <c r="AD2100" t="s">
        <v>72</v>
      </c>
      <c r="AE2100" t="s">
        <v>76</v>
      </c>
      <c r="AF2100" t="s">
        <v>3974</v>
      </c>
      <c r="AG2100" t="s">
        <v>77</v>
      </c>
    </row>
    <row r="2101" spans="1:33" x14ac:dyDescent="0.25">
      <c r="A2101" t="str">
        <f>"1225038581"</f>
        <v>1225038581</v>
      </c>
      <c r="B2101" t="str">
        <f>"01657414"</f>
        <v>01657414</v>
      </c>
      <c r="C2101" t="s">
        <v>10771</v>
      </c>
      <c r="D2101" t="s">
        <v>1998</v>
      </c>
      <c r="E2101" t="s">
        <v>1999</v>
      </c>
      <c r="G2101" t="s">
        <v>10771</v>
      </c>
      <c r="H2101" t="s">
        <v>915</v>
      </c>
      <c r="J2101" t="s">
        <v>10772</v>
      </c>
      <c r="L2101" t="s">
        <v>80</v>
      </c>
      <c r="M2101" t="s">
        <v>72</v>
      </c>
      <c r="R2101" t="s">
        <v>2000</v>
      </c>
      <c r="W2101" t="s">
        <v>1999</v>
      </c>
      <c r="X2101" t="s">
        <v>917</v>
      </c>
      <c r="Y2101" t="s">
        <v>221</v>
      </c>
      <c r="Z2101" t="s">
        <v>73</v>
      </c>
      <c r="AA2101" t="str">
        <f>"14221-8602"</f>
        <v>14221-8602</v>
      </c>
      <c r="AB2101" t="s">
        <v>74</v>
      </c>
      <c r="AC2101" t="s">
        <v>75</v>
      </c>
      <c r="AD2101" t="s">
        <v>72</v>
      </c>
      <c r="AE2101" t="s">
        <v>76</v>
      </c>
      <c r="AF2101" t="s">
        <v>4431</v>
      </c>
      <c r="AG2101" t="s">
        <v>77</v>
      </c>
    </row>
    <row r="2102" spans="1:33" x14ac:dyDescent="0.25">
      <c r="A2102" t="str">
        <f>"1275802084"</f>
        <v>1275802084</v>
      </c>
      <c r="B2102" t="str">
        <f>"03541531"</f>
        <v>03541531</v>
      </c>
      <c r="C2102" t="s">
        <v>10773</v>
      </c>
      <c r="D2102" t="s">
        <v>10774</v>
      </c>
      <c r="E2102" t="s">
        <v>10775</v>
      </c>
      <c r="G2102" t="s">
        <v>10773</v>
      </c>
      <c r="H2102" t="s">
        <v>3357</v>
      </c>
      <c r="L2102" t="s">
        <v>79</v>
      </c>
      <c r="M2102" t="s">
        <v>81</v>
      </c>
      <c r="R2102" t="s">
        <v>10776</v>
      </c>
      <c r="W2102" t="s">
        <v>10775</v>
      </c>
      <c r="X2102" t="s">
        <v>1305</v>
      </c>
      <c r="Y2102" t="s">
        <v>117</v>
      </c>
      <c r="Z2102" t="s">
        <v>73</v>
      </c>
      <c r="AA2102" t="str">
        <f>"14222-1836"</f>
        <v>14222-1836</v>
      </c>
      <c r="AB2102" t="s">
        <v>74</v>
      </c>
      <c r="AC2102" t="s">
        <v>75</v>
      </c>
      <c r="AD2102" t="s">
        <v>72</v>
      </c>
      <c r="AE2102" t="s">
        <v>76</v>
      </c>
      <c r="AF2102" t="s">
        <v>3974</v>
      </c>
      <c r="AG2102" t="s">
        <v>77</v>
      </c>
    </row>
    <row r="2103" spans="1:33" x14ac:dyDescent="0.25">
      <c r="A2103" t="str">
        <f>"1114369089"</f>
        <v>1114369089</v>
      </c>
      <c r="B2103" t="str">
        <f>"03736972"</f>
        <v>03736972</v>
      </c>
      <c r="C2103" t="s">
        <v>10777</v>
      </c>
      <c r="D2103" t="s">
        <v>10778</v>
      </c>
      <c r="E2103" t="s">
        <v>10779</v>
      </c>
      <c r="G2103" t="s">
        <v>4797</v>
      </c>
      <c r="H2103" t="s">
        <v>4798</v>
      </c>
      <c r="I2103">
        <v>104</v>
      </c>
      <c r="J2103" t="s">
        <v>4799</v>
      </c>
      <c r="L2103" t="s">
        <v>79</v>
      </c>
      <c r="M2103" t="s">
        <v>72</v>
      </c>
      <c r="R2103" t="s">
        <v>10780</v>
      </c>
      <c r="W2103" t="s">
        <v>10781</v>
      </c>
      <c r="X2103" t="s">
        <v>880</v>
      </c>
      <c r="Y2103" t="s">
        <v>817</v>
      </c>
      <c r="Z2103" t="s">
        <v>73</v>
      </c>
      <c r="AA2103" t="str">
        <f>"14063-1769"</f>
        <v>14063-1769</v>
      </c>
      <c r="AB2103" t="s">
        <v>74</v>
      </c>
      <c r="AC2103" t="s">
        <v>75</v>
      </c>
      <c r="AD2103" t="s">
        <v>72</v>
      </c>
      <c r="AE2103" t="s">
        <v>76</v>
      </c>
      <c r="AF2103" t="s">
        <v>4049</v>
      </c>
      <c r="AG2103" t="s">
        <v>77</v>
      </c>
    </row>
    <row r="2104" spans="1:33" x14ac:dyDescent="0.25">
      <c r="C2104" t="s">
        <v>10782</v>
      </c>
      <c r="G2104" t="s">
        <v>10783</v>
      </c>
      <c r="H2104" t="s">
        <v>10784</v>
      </c>
      <c r="J2104" t="s">
        <v>10785</v>
      </c>
      <c r="K2104" t="s">
        <v>89</v>
      </c>
      <c r="L2104" t="s">
        <v>90</v>
      </c>
      <c r="M2104" t="s">
        <v>72</v>
      </c>
      <c r="N2104" t="s">
        <v>10786</v>
      </c>
      <c r="O2104" t="s">
        <v>1101</v>
      </c>
      <c r="P2104" t="s">
        <v>73</v>
      </c>
      <c r="Q2104" t="str">
        <f>"14215"</f>
        <v>14215</v>
      </c>
      <c r="AC2104" t="s">
        <v>75</v>
      </c>
      <c r="AD2104" t="s">
        <v>72</v>
      </c>
      <c r="AE2104" t="s">
        <v>91</v>
      </c>
      <c r="AF2104" t="s">
        <v>4078</v>
      </c>
      <c r="AG2104" t="s">
        <v>77</v>
      </c>
    </row>
    <row r="2105" spans="1:33" x14ac:dyDescent="0.25">
      <c r="A2105" t="str">
        <f>"1326141342"</f>
        <v>1326141342</v>
      </c>
      <c r="B2105" t="str">
        <f>"02831827"</f>
        <v>02831827</v>
      </c>
      <c r="C2105" t="s">
        <v>10787</v>
      </c>
      <c r="D2105" t="s">
        <v>2668</v>
      </c>
      <c r="E2105" t="s">
        <v>2669</v>
      </c>
      <c r="G2105" t="s">
        <v>4017</v>
      </c>
      <c r="H2105" t="s">
        <v>597</v>
      </c>
      <c r="J2105" t="s">
        <v>4018</v>
      </c>
      <c r="L2105" t="s">
        <v>79</v>
      </c>
      <c r="M2105" t="s">
        <v>72</v>
      </c>
      <c r="R2105" t="s">
        <v>2670</v>
      </c>
      <c r="W2105" t="s">
        <v>2669</v>
      </c>
      <c r="X2105" t="s">
        <v>1320</v>
      </c>
      <c r="Y2105" t="s">
        <v>117</v>
      </c>
      <c r="Z2105" t="s">
        <v>73</v>
      </c>
      <c r="AA2105" t="str">
        <f>"14215-1145"</f>
        <v>14215-1145</v>
      </c>
      <c r="AB2105" t="s">
        <v>74</v>
      </c>
      <c r="AC2105" t="s">
        <v>75</v>
      </c>
      <c r="AD2105" t="s">
        <v>72</v>
      </c>
      <c r="AE2105" t="s">
        <v>76</v>
      </c>
      <c r="AF2105" t="s">
        <v>3974</v>
      </c>
      <c r="AG2105" t="s">
        <v>77</v>
      </c>
    </row>
    <row r="2106" spans="1:33" x14ac:dyDescent="0.25">
      <c r="A2106" t="str">
        <f>"1902887102"</f>
        <v>1902887102</v>
      </c>
      <c r="B2106" t="str">
        <f>"01272288"</f>
        <v>01272288</v>
      </c>
      <c r="C2106" t="s">
        <v>10788</v>
      </c>
      <c r="D2106" t="s">
        <v>1292</v>
      </c>
      <c r="E2106" t="s">
        <v>1293</v>
      </c>
      <c r="G2106" t="s">
        <v>10788</v>
      </c>
      <c r="H2106" t="s">
        <v>1294</v>
      </c>
      <c r="J2106" t="s">
        <v>10789</v>
      </c>
      <c r="L2106" t="s">
        <v>71</v>
      </c>
      <c r="M2106" t="s">
        <v>72</v>
      </c>
      <c r="R2106" t="s">
        <v>1295</v>
      </c>
      <c r="W2106" t="s">
        <v>1293</v>
      </c>
      <c r="X2106" t="s">
        <v>1296</v>
      </c>
      <c r="Y2106" t="s">
        <v>117</v>
      </c>
      <c r="Z2106" t="s">
        <v>73</v>
      </c>
      <c r="AA2106" t="str">
        <f>"14203"</f>
        <v>14203</v>
      </c>
      <c r="AB2106" t="s">
        <v>74</v>
      </c>
      <c r="AC2106" t="s">
        <v>75</v>
      </c>
      <c r="AD2106" t="s">
        <v>72</v>
      </c>
      <c r="AE2106" t="s">
        <v>76</v>
      </c>
      <c r="AF2106" t="s">
        <v>3974</v>
      </c>
      <c r="AG2106" t="s">
        <v>77</v>
      </c>
    </row>
    <row r="2107" spans="1:33" x14ac:dyDescent="0.25">
      <c r="A2107" t="str">
        <f>"1639256548"</f>
        <v>1639256548</v>
      </c>
      <c r="B2107" t="str">
        <f>"00452680"</f>
        <v>00452680</v>
      </c>
      <c r="C2107" t="s">
        <v>10790</v>
      </c>
      <c r="D2107" t="s">
        <v>10791</v>
      </c>
      <c r="E2107" t="s">
        <v>10792</v>
      </c>
      <c r="G2107" t="s">
        <v>10793</v>
      </c>
      <c r="H2107" t="s">
        <v>10794</v>
      </c>
      <c r="J2107" t="s">
        <v>10795</v>
      </c>
      <c r="L2107" t="s">
        <v>80</v>
      </c>
      <c r="M2107" t="s">
        <v>72</v>
      </c>
      <c r="R2107" t="s">
        <v>10796</v>
      </c>
      <c r="W2107" t="s">
        <v>10792</v>
      </c>
      <c r="X2107" t="s">
        <v>10797</v>
      </c>
      <c r="Y2107" t="s">
        <v>436</v>
      </c>
      <c r="Z2107" t="s">
        <v>73</v>
      </c>
      <c r="AA2107" t="str">
        <f>"14223-2807"</f>
        <v>14223-2807</v>
      </c>
      <c r="AB2107" t="s">
        <v>74</v>
      </c>
      <c r="AC2107" t="s">
        <v>75</v>
      </c>
      <c r="AD2107" t="s">
        <v>72</v>
      </c>
      <c r="AE2107" t="s">
        <v>76</v>
      </c>
      <c r="AF2107" t="s">
        <v>3961</v>
      </c>
      <c r="AG2107" t="s">
        <v>77</v>
      </c>
    </row>
    <row r="2108" spans="1:33" x14ac:dyDescent="0.25">
      <c r="A2108" t="str">
        <f>"1639165772"</f>
        <v>1639165772</v>
      </c>
      <c r="B2108" t="str">
        <f>"00602828"</f>
        <v>00602828</v>
      </c>
      <c r="C2108" t="s">
        <v>10798</v>
      </c>
      <c r="D2108" t="s">
        <v>2769</v>
      </c>
      <c r="E2108" t="s">
        <v>2770</v>
      </c>
      <c r="G2108" t="s">
        <v>7005</v>
      </c>
      <c r="H2108" t="s">
        <v>2771</v>
      </c>
      <c r="J2108" t="s">
        <v>7006</v>
      </c>
      <c r="L2108" t="s">
        <v>80</v>
      </c>
      <c r="M2108" t="s">
        <v>72</v>
      </c>
      <c r="R2108" t="s">
        <v>2772</v>
      </c>
      <c r="W2108" t="s">
        <v>2773</v>
      </c>
      <c r="X2108" t="s">
        <v>173</v>
      </c>
      <c r="Y2108" t="s">
        <v>117</v>
      </c>
      <c r="Z2108" t="s">
        <v>73</v>
      </c>
      <c r="AA2108" t="str">
        <f>"14222-2099"</f>
        <v>14222-2099</v>
      </c>
      <c r="AB2108" t="s">
        <v>74</v>
      </c>
      <c r="AC2108" t="s">
        <v>75</v>
      </c>
      <c r="AD2108" t="s">
        <v>72</v>
      </c>
      <c r="AE2108" t="s">
        <v>76</v>
      </c>
      <c r="AF2108" t="s">
        <v>3961</v>
      </c>
      <c r="AG2108" t="s">
        <v>77</v>
      </c>
    </row>
    <row r="2109" spans="1:33" x14ac:dyDescent="0.25">
      <c r="A2109" t="str">
        <f>"1154480242"</f>
        <v>1154480242</v>
      </c>
      <c r="B2109" t="str">
        <f>"00606208"</f>
        <v>00606208</v>
      </c>
      <c r="C2109" t="s">
        <v>10799</v>
      </c>
      <c r="D2109" t="s">
        <v>10800</v>
      </c>
      <c r="E2109" t="s">
        <v>10801</v>
      </c>
      <c r="G2109" t="s">
        <v>10799</v>
      </c>
      <c r="H2109" t="s">
        <v>10802</v>
      </c>
      <c r="J2109" t="s">
        <v>10803</v>
      </c>
      <c r="L2109" t="s">
        <v>80</v>
      </c>
      <c r="M2109" t="s">
        <v>72</v>
      </c>
      <c r="R2109" t="s">
        <v>10804</v>
      </c>
      <c r="W2109" t="s">
        <v>10801</v>
      </c>
      <c r="X2109" t="s">
        <v>10805</v>
      </c>
      <c r="Y2109" t="s">
        <v>117</v>
      </c>
      <c r="Z2109" t="s">
        <v>73</v>
      </c>
      <c r="AA2109" t="str">
        <f>"14220-1701"</f>
        <v>14220-1701</v>
      </c>
      <c r="AB2109" t="s">
        <v>74</v>
      </c>
      <c r="AC2109" t="s">
        <v>75</v>
      </c>
      <c r="AD2109" t="s">
        <v>72</v>
      </c>
      <c r="AE2109" t="s">
        <v>76</v>
      </c>
      <c r="AF2109" t="s">
        <v>4431</v>
      </c>
      <c r="AG2109" t="s">
        <v>77</v>
      </c>
    </row>
    <row r="2110" spans="1:33" x14ac:dyDescent="0.25">
      <c r="A2110" t="str">
        <f>"1841234317"</f>
        <v>1841234317</v>
      </c>
      <c r="B2110" t="str">
        <f>"02756641"</f>
        <v>02756641</v>
      </c>
      <c r="C2110" t="s">
        <v>10806</v>
      </c>
      <c r="D2110" t="s">
        <v>10807</v>
      </c>
      <c r="E2110" t="s">
        <v>10808</v>
      </c>
      <c r="L2110" t="s">
        <v>79</v>
      </c>
      <c r="M2110" t="s">
        <v>72</v>
      </c>
      <c r="R2110" t="s">
        <v>10809</v>
      </c>
      <c r="W2110" t="s">
        <v>10810</v>
      </c>
      <c r="X2110" t="s">
        <v>3776</v>
      </c>
      <c r="Y2110" t="s">
        <v>237</v>
      </c>
      <c r="Z2110" t="s">
        <v>73</v>
      </c>
      <c r="AA2110" t="str">
        <f>"14224-3445"</f>
        <v>14224-3445</v>
      </c>
      <c r="AB2110" t="s">
        <v>74</v>
      </c>
      <c r="AC2110" t="s">
        <v>75</v>
      </c>
      <c r="AD2110" t="s">
        <v>72</v>
      </c>
      <c r="AE2110" t="s">
        <v>76</v>
      </c>
      <c r="AF2110" t="s">
        <v>3961</v>
      </c>
      <c r="AG2110" t="s">
        <v>77</v>
      </c>
    </row>
    <row r="2111" spans="1:33" x14ac:dyDescent="0.25">
      <c r="A2111" t="str">
        <f>"1407096449"</f>
        <v>1407096449</v>
      </c>
      <c r="B2111" t="str">
        <f>"03093276"</f>
        <v>03093276</v>
      </c>
      <c r="C2111" t="s">
        <v>10811</v>
      </c>
      <c r="D2111" t="s">
        <v>10812</v>
      </c>
      <c r="E2111" t="s">
        <v>10813</v>
      </c>
      <c r="L2111" t="s">
        <v>71</v>
      </c>
      <c r="M2111" t="s">
        <v>72</v>
      </c>
      <c r="R2111" t="s">
        <v>10814</v>
      </c>
      <c r="W2111" t="s">
        <v>10815</v>
      </c>
      <c r="X2111" t="s">
        <v>10816</v>
      </c>
      <c r="Y2111" t="s">
        <v>228</v>
      </c>
      <c r="Z2111" t="s">
        <v>73</v>
      </c>
      <c r="AA2111" t="str">
        <f>"14228-2792"</f>
        <v>14228-2792</v>
      </c>
      <c r="AB2111" t="s">
        <v>74</v>
      </c>
      <c r="AC2111" t="s">
        <v>75</v>
      </c>
      <c r="AD2111" t="s">
        <v>72</v>
      </c>
      <c r="AE2111" t="s">
        <v>76</v>
      </c>
      <c r="AF2111" t="s">
        <v>3974</v>
      </c>
      <c r="AG2111" t="s">
        <v>77</v>
      </c>
    </row>
    <row r="2112" spans="1:33" x14ac:dyDescent="0.25">
      <c r="A2112" t="str">
        <f>"1164710299"</f>
        <v>1164710299</v>
      </c>
      <c r="C2112" t="s">
        <v>10817</v>
      </c>
      <c r="K2112" t="s">
        <v>89</v>
      </c>
      <c r="L2112" t="s">
        <v>71</v>
      </c>
      <c r="M2112" t="s">
        <v>72</v>
      </c>
      <c r="R2112" t="s">
        <v>10818</v>
      </c>
      <c r="S2112" t="s">
        <v>385</v>
      </c>
      <c r="T2112" t="s">
        <v>228</v>
      </c>
      <c r="U2112" t="s">
        <v>73</v>
      </c>
      <c r="V2112" t="str">
        <f>"142261738"</f>
        <v>142261738</v>
      </c>
      <c r="AC2112" t="s">
        <v>75</v>
      </c>
      <c r="AD2112" t="s">
        <v>72</v>
      </c>
      <c r="AE2112" t="s">
        <v>93</v>
      </c>
      <c r="AF2112" t="s">
        <v>3974</v>
      </c>
      <c r="AG2112" t="s">
        <v>77</v>
      </c>
    </row>
    <row r="2113" spans="1:33" x14ac:dyDescent="0.25">
      <c r="A2113" t="str">
        <f>"1033184627"</f>
        <v>1033184627</v>
      </c>
      <c r="B2113" t="str">
        <f>"01752689"</f>
        <v>01752689</v>
      </c>
      <c r="C2113" t="s">
        <v>10819</v>
      </c>
      <c r="D2113" t="s">
        <v>10820</v>
      </c>
      <c r="E2113" t="s">
        <v>10821</v>
      </c>
      <c r="L2113" t="s">
        <v>80</v>
      </c>
      <c r="M2113" t="s">
        <v>72</v>
      </c>
      <c r="R2113" t="s">
        <v>10822</v>
      </c>
      <c r="W2113" t="s">
        <v>10821</v>
      </c>
      <c r="X2113" t="s">
        <v>7277</v>
      </c>
      <c r="Y2113" t="s">
        <v>188</v>
      </c>
      <c r="Z2113" t="s">
        <v>73</v>
      </c>
      <c r="AA2113" t="str">
        <f>"14092-1705"</f>
        <v>14092-1705</v>
      </c>
      <c r="AB2113" t="s">
        <v>74</v>
      </c>
      <c r="AC2113" t="s">
        <v>75</v>
      </c>
      <c r="AD2113" t="s">
        <v>72</v>
      </c>
      <c r="AE2113" t="s">
        <v>76</v>
      </c>
      <c r="AF2113" t="s">
        <v>3974</v>
      </c>
      <c r="AG2113" t="s">
        <v>77</v>
      </c>
    </row>
    <row r="2114" spans="1:33" x14ac:dyDescent="0.25">
      <c r="A2114" t="str">
        <f>"1376581561"</f>
        <v>1376581561</v>
      </c>
      <c r="B2114" t="str">
        <f>"02344705"</f>
        <v>02344705</v>
      </c>
      <c r="C2114" t="s">
        <v>10823</v>
      </c>
      <c r="D2114" t="s">
        <v>10824</v>
      </c>
      <c r="E2114" t="s">
        <v>10825</v>
      </c>
      <c r="L2114" t="s">
        <v>79</v>
      </c>
      <c r="M2114" t="s">
        <v>72</v>
      </c>
      <c r="R2114" t="s">
        <v>10826</v>
      </c>
      <c r="W2114" t="s">
        <v>10825</v>
      </c>
      <c r="X2114" t="s">
        <v>243</v>
      </c>
      <c r="Y2114" t="s">
        <v>117</v>
      </c>
      <c r="Z2114" t="s">
        <v>73</v>
      </c>
      <c r="AA2114" t="str">
        <f>"14203-1126"</f>
        <v>14203-1126</v>
      </c>
      <c r="AB2114" t="s">
        <v>74</v>
      </c>
      <c r="AC2114" t="s">
        <v>75</v>
      </c>
      <c r="AD2114" t="s">
        <v>72</v>
      </c>
      <c r="AE2114" t="s">
        <v>76</v>
      </c>
      <c r="AF2114" t="s">
        <v>4043</v>
      </c>
      <c r="AG2114" t="s">
        <v>77</v>
      </c>
    </row>
    <row r="2115" spans="1:33" x14ac:dyDescent="0.25">
      <c r="A2115" t="str">
        <f>"1619903200"</f>
        <v>1619903200</v>
      </c>
      <c r="B2115" t="str">
        <f>"02626057"</f>
        <v>02626057</v>
      </c>
      <c r="C2115" t="s">
        <v>10827</v>
      </c>
      <c r="D2115" t="s">
        <v>1790</v>
      </c>
      <c r="E2115" t="s">
        <v>1791</v>
      </c>
      <c r="L2115" t="s">
        <v>79</v>
      </c>
      <c r="M2115" t="s">
        <v>72</v>
      </c>
      <c r="R2115" t="s">
        <v>1792</v>
      </c>
      <c r="W2115" t="s">
        <v>1791</v>
      </c>
      <c r="AB2115" t="s">
        <v>74</v>
      </c>
      <c r="AC2115" t="s">
        <v>75</v>
      </c>
      <c r="AD2115" t="s">
        <v>72</v>
      </c>
      <c r="AE2115" t="s">
        <v>76</v>
      </c>
      <c r="AF2115" t="s">
        <v>3974</v>
      </c>
      <c r="AG2115" t="s">
        <v>77</v>
      </c>
    </row>
    <row r="2116" spans="1:33" x14ac:dyDescent="0.25">
      <c r="A2116" t="str">
        <f>"1578818670"</f>
        <v>1578818670</v>
      </c>
      <c r="C2116" t="s">
        <v>10828</v>
      </c>
      <c r="K2116" t="s">
        <v>89</v>
      </c>
      <c r="L2116" t="s">
        <v>71</v>
      </c>
      <c r="M2116" t="s">
        <v>72</v>
      </c>
      <c r="R2116" t="s">
        <v>10829</v>
      </c>
      <c r="S2116" t="s">
        <v>8439</v>
      </c>
      <c r="T2116" t="s">
        <v>326</v>
      </c>
      <c r="U2116" t="s">
        <v>73</v>
      </c>
      <c r="V2116" t="str">
        <f>"141271236"</f>
        <v>141271236</v>
      </c>
      <c r="AC2116" t="s">
        <v>75</v>
      </c>
      <c r="AD2116" t="s">
        <v>72</v>
      </c>
      <c r="AE2116" t="s">
        <v>93</v>
      </c>
      <c r="AF2116" t="s">
        <v>3961</v>
      </c>
      <c r="AG2116" t="s">
        <v>77</v>
      </c>
    </row>
    <row r="2117" spans="1:33" x14ac:dyDescent="0.25">
      <c r="A2117" t="str">
        <f>"1972769214"</f>
        <v>1972769214</v>
      </c>
      <c r="B2117" t="str">
        <f>"03073205"</f>
        <v>03073205</v>
      </c>
      <c r="C2117" t="s">
        <v>10830</v>
      </c>
      <c r="D2117" t="s">
        <v>10831</v>
      </c>
      <c r="E2117" t="s">
        <v>10832</v>
      </c>
      <c r="L2117" t="s">
        <v>79</v>
      </c>
      <c r="M2117" t="s">
        <v>72</v>
      </c>
      <c r="R2117" t="s">
        <v>10833</v>
      </c>
      <c r="W2117" t="s">
        <v>10834</v>
      </c>
      <c r="X2117" t="s">
        <v>1151</v>
      </c>
      <c r="Y2117" t="s">
        <v>221</v>
      </c>
      <c r="Z2117" t="s">
        <v>73</v>
      </c>
      <c r="AA2117" t="str">
        <f>"14221-8024"</f>
        <v>14221-8024</v>
      </c>
      <c r="AB2117" t="s">
        <v>74</v>
      </c>
      <c r="AC2117" t="s">
        <v>75</v>
      </c>
      <c r="AD2117" t="s">
        <v>72</v>
      </c>
      <c r="AE2117" t="s">
        <v>76</v>
      </c>
      <c r="AF2117" t="s">
        <v>3961</v>
      </c>
      <c r="AG2117" t="s">
        <v>77</v>
      </c>
    </row>
    <row r="2118" spans="1:33" x14ac:dyDescent="0.25">
      <c r="A2118" t="str">
        <f>"1881606416"</f>
        <v>1881606416</v>
      </c>
      <c r="B2118" t="str">
        <f>"02564092"</f>
        <v>02564092</v>
      </c>
      <c r="C2118" t="s">
        <v>10835</v>
      </c>
      <c r="D2118" t="s">
        <v>3903</v>
      </c>
      <c r="E2118" t="s">
        <v>3904</v>
      </c>
      <c r="L2118" t="s">
        <v>71</v>
      </c>
      <c r="M2118" t="s">
        <v>72</v>
      </c>
      <c r="R2118" t="s">
        <v>3902</v>
      </c>
      <c r="W2118" t="s">
        <v>3904</v>
      </c>
      <c r="X2118" t="s">
        <v>3905</v>
      </c>
      <c r="Y2118" t="s">
        <v>221</v>
      </c>
      <c r="Z2118" t="s">
        <v>73</v>
      </c>
      <c r="AA2118" t="str">
        <f>"14221-8245"</f>
        <v>14221-8245</v>
      </c>
      <c r="AB2118" t="s">
        <v>74</v>
      </c>
      <c r="AC2118" t="s">
        <v>75</v>
      </c>
      <c r="AD2118" t="s">
        <v>72</v>
      </c>
      <c r="AE2118" t="s">
        <v>76</v>
      </c>
      <c r="AF2118" t="s">
        <v>3961</v>
      </c>
      <c r="AG2118" t="s">
        <v>77</v>
      </c>
    </row>
    <row r="2119" spans="1:33" x14ac:dyDescent="0.25">
      <c r="A2119" t="str">
        <f>"1699054742"</f>
        <v>1699054742</v>
      </c>
      <c r="C2119" t="s">
        <v>10836</v>
      </c>
      <c r="K2119" t="s">
        <v>89</v>
      </c>
      <c r="L2119" t="s">
        <v>71</v>
      </c>
      <c r="M2119" t="s">
        <v>72</v>
      </c>
      <c r="R2119" t="s">
        <v>10837</v>
      </c>
      <c r="S2119" t="s">
        <v>1320</v>
      </c>
      <c r="T2119" t="s">
        <v>117</v>
      </c>
      <c r="U2119" t="s">
        <v>73</v>
      </c>
      <c r="V2119" t="str">
        <f>"142151145"</f>
        <v>142151145</v>
      </c>
      <c r="AC2119" t="s">
        <v>75</v>
      </c>
      <c r="AD2119" t="s">
        <v>72</v>
      </c>
      <c r="AE2119" t="s">
        <v>93</v>
      </c>
      <c r="AF2119" t="s">
        <v>3974</v>
      </c>
      <c r="AG2119" t="s">
        <v>77</v>
      </c>
    </row>
    <row r="2120" spans="1:33" x14ac:dyDescent="0.25">
      <c r="A2120" t="str">
        <f>"1710285689"</f>
        <v>1710285689</v>
      </c>
      <c r="B2120" t="str">
        <f>"03348574"</f>
        <v>03348574</v>
      </c>
      <c r="C2120" t="s">
        <v>10838</v>
      </c>
      <c r="D2120" t="s">
        <v>10839</v>
      </c>
      <c r="E2120" t="s">
        <v>10840</v>
      </c>
      <c r="L2120" t="s">
        <v>79</v>
      </c>
      <c r="M2120" t="s">
        <v>72</v>
      </c>
      <c r="R2120" t="s">
        <v>10841</v>
      </c>
      <c r="W2120" t="s">
        <v>10842</v>
      </c>
      <c r="X2120" t="s">
        <v>3013</v>
      </c>
      <c r="Y2120" t="s">
        <v>365</v>
      </c>
      <c r="Z2120" t="s">
        <v>73</v>
      </c>
      <c r="AA2120" t="str">
        <f>"14217-1234"</f>
        <v>14217-1234</v>
      </c>
      <c r="AB2120" t="s">
        <v>74</v>
      </c>
      <c r="AC2120" t="s">
        <v>75</v>
      </c>
      <c r="AD2120" t="s">
        <v>72</v>
      </c>
      <c r="AE2120" t="s">
        <v>76</v>
      </c>
      <c r="AF2120" t="s">
        <v>4043</v>
      </c>
      <c r="AG2120" t="s">
        <v>77</v>
      </c>
    </row>
    <row r="2121" spans="1:33" x14ac:dyDescent="0.25">
      <c r="A2121" t="str">
        <f>"1376511295"</f>
        <v>1376511295</v>
      </c>
      <c r="B2121" t="str">
        <f>"02712825"</f>
        <v>02712825</v>
      </c>
      <c r="C2121" t="s">
        <v>10843</v>
      </c>
      <c r="D2121" t="s">
        <v>10844</v>
      </c>
      <c r="E2121" t="s">
        <v>10845</v>
      </c>
      <c r="L2121" t="s">
        <v>79</v>
      </c>
      <c r="M2121" t="s">
        <v>72</v>
      </c>
      <c r="R2121" t="s">
        <v>10846</v>
      </c>
      <c r="W2121" t="s">
        <v>10845</v>
      </c>
      <c r="X2121" t="s">
        <v>234</v>
      </c>
      <c r="Y2121" t="s">
        <v>117</v>
      </c>
      <c r="Z2121" t="s">
        <v>73</v>
      </c>
      <c r="AA2121" t="str">
        <f>"14220-2039"</f>
        <v>14220-2039</v>
      </c>
      <c r="AB2121" t="s">
        <v>74</v>
      </c>
      <c r="AC2121" t="s">
        <v>75</v>
      </c>
      <c r="AD2121" t="s">
        <v>72</v>
      </c>
      <c r="AE2121" t="s">
        <v>76</v>
      </c>
      <c r="AF2121" t="s">
        <v>4043</v>
      </c>
      <c r="AG2121" t="s">
        <v>77</v>
      </c>
    </row>
    <row r="2122" spans="1:33" x14ac:dyDescent="0.25">
      <c r="A2122" t="str">
        <f>"1659315398"</f>
        <v>1659315398</v>
      </c>
      <c r="B2122" t="str">
        <f>"02347079"</f>
        <v>02347079</v>
      </c>
      <c r="C2122" t="s">
        <v>10847</v>
      </c>
      <c r="D2122" t="s">
        <v>10848</v>
      </c>
      <c r="E2122" t="s">
        <v>10849</v>
      </c>
      <c r="L2122" t="s">
        <v>79</v>
      </c>
      <c r="M2122" t="s">
        <v>72</v>
      </c>
      <c r="R2122" t="s">
        <v>10850</v>
      </c>
      <c r="W2122" t="s">
        <v>10849</v>
      </c>
      <c r="X2122" t="s">
        <v>649</v>
      </c>
      <c r="Y2122" t="s">
        <v>237</v>
      </c>
      <c r="Z2122" t="s">
        <v>73</v>
      </c>
      <c r="AA2122" t="str">
        <f>"14224-4658"</f>
        <v>14224-4658</v>
      </c>
      <c r="AB2122" t="s">
        <v>74</v>
      </c>
      <c r="AC2122" t="s">
        <v>75</v>
      </c>
      <c r="AD2122" t="s">
        <v>72</v>
      </c>
      <c r="AE2122" t="s">
        <v>76</v>
      </c>
      <c r="AF2122" t="s">
        <v>3974</v>
      </c>
      <c r="AG2122" t="s">
        <v>77</v>
      </c>
    </row>
    <row r="2123" spans="1:33" x14ac:dyDescent="0.25">
      <c r="A2123" t="str">
        <f>"1700808920"</f>
        <v>1700808920</v>
      </c>
      <c r="B2123" t="str">
        <f>"02431189"</f>
        <v>02431189</v>
      </c>
      <c r="C2123" t="s">
        <v>10851</v>
      </c>
      <c r="D2123" t="s">
        <v>10852</v>
      </c>
      <c r="E2123" t="s">
        <v>10853</v>
      </c>
      <c r="L2123" t="s">
        <v>71</v>
      </c>
      <c r="M2123" t="s">
        <v>72</v>
      </c>
      <c r="R2123" t="s">
        <v>10854</v>
      </c>
      <c r="W2123" t="s">
        <v>10855</v>
      </c>
      <c r="X2123" t="s">
        <v>10856</v>
      </c>
      <c r="Y2123" t="s">
        <v>221</v>
      </c>
      <c r="Z2123" t="s">
        <v>73</v>
      </c>
      <c r="AA2123" t="str">
        <f>"14221-6885"</f>
        <v>14221-6885</v>
      </c>
      <c r="AB2123" t="s">
        <v>74</v>
      </c>
      <c r="AC2123" t="s">
        <v>75</v>
      </c>
      <c r="AD2123" t="s">
        <v>72</v>
      </c>
      <c r="AE2123" t="s">
        <v>76</v>
      </c>
      <c r="AF2123" t="s">
        <v>4043</v>
      </c>
      <c r="AG2123" t="s">
        <v>77</v>
      </c>
    </row>
    <row r="2124" spans="1:33" x14ac:dyDescent="0.25">
      <c r="A2124" t="str">
        <f>"1316939655"</f>
        <v>1316939655</v>
      </c>
      <c r="B2124" t="str">
        <f>"02343635"</f>
        <v>02343635</v>
      </c>
      <c r="C2124" t="s">
        <v>10857</v>
      </c>
      <c r="D2124" t="s">
        <v>10858</v>
      </c>
      <c r="E2124" t="s">
        <v>10859</v>
      </c>
      <c r="L2124" t="s">
        <v>79</v>
      </c>
      <c r="M2124" t="s">
        <v>72</v>
      </c>
      <c r="R2124" t="s">
        <v>10860</v>
      </c>
      <c r="W2124" t="s">
        <v>10861</v>
      </c>
      <c r="X2124" t="s">
        <v>908</v>
      </c>
      <c r="Y2124" t="s">
        <v>630</v>
      </c>
      <c r="Z2124" t="s">
        <v>73</v>
      </c>
      <c r="AA2124" t="str">
        <f>"14043-4783"</f>
        <v>14043-4783</v>
      </c>
      <c r="AB2124" t="s">
        <v>74</v>
      </c>
      <c r="AC2124" t="s">
        <v>75</v>
      </c>
      <c r="AD2124" t="s">
        <v>72</v>
      </c>
      <c r="AE2124" t="s">
        <v>76</v>
      </c>
      <c r="AF2124" t="s">
        <v>3974</v>
      </c>
      <c r="AG2124" t="s">
        <v>77</v>
      </c>
    </row>
    <row r="2125" spans="1:33" x14ac:dyDescent="0.25">
      <c r="A2125" t="str">
        <f>"1780996769"</f>
        <v>1780996769</v>
      </c>
      <c r="B2125" t="str">
        <f>"03272011"</f>
        <v>03272011</v>
      </c>
      <c r="C2125" t="s">
        <v>10862</v>
      </c>
      <c r="D2125" t="s">
        <v>10863</v>
      </c>
      <c r="E2125" t="s">
        <v>10864</v>
      </c>
      <c r="L2125" t="s">
        <v>80</v>
      </c>
      <c r="M2125" t="s">
        <v>72</v>
      </c>
      <c r="R2125" t="s">
        <v>10865</v>
      </c>
      <c r="W2125" t="s">
        <v>10864</v>
      </c>
      <c r="X2125" t="s">
        <v>1258</v>
      </c>
      <c r="Y2125" t="s">
        <v>228</v>
      </c>
      <c r="Z2125" t="s">
        <v>73</v>
      </c>
      <c r="AA2125" t="str">
        <f>"14226-1039"</f>
        <v>14226-1039</v>
      </c>
      <c r="AB2125" t="s">
        <v>74</v>
      </c>
      <c r="AC2125" t="s">
        <v>75</v>
      </c>
      <c r="AD2125" t="s">
        <v>72</v>
      </c>
      <c r="AE2125" t="s">
        <v>76</v>
      </c>
      <c r="AF2125" t="s">
        <v>4431</v>
      </c>
      <c r="AG2125" t="s">
        <v>77</v>
      </c>
    </row>
    <row r="2126" spans="1:33" x14ac:dyDescent="0.25">
      <c r="A2126" t="str">
        <f>"1508144288"</f>
        <v>1508144288</v>
      </c>
      <c r="B2126" t="str">
        <f>"03425165"</f>
        <v>03425165</v>
      </c>
      <c r="C2126" t="s">
        <v>10866</v>
      </c>
      <c r="D2126" t="s">
        <v>10867</v>
      </c>
      <c r="E2126" t="s">
        <v>10868</v>
      </c>
      <c r="L2126" t="s">
        <v>79</v>
      </c>
      <c r="M2126" t="s">
        <v>72</v>
      </c>
      <c r="R2126" t="s">
        <v>10869</v>
      </c>
      <c r="W2126" t="s">
        <v>10870</v>
      </c>
      <c r="X2126" t="s">
        <v>10871</v>
      </c>
      <c r="Y2126" t="s">
        <v>1079</v>
      </c>
      <c r="Z2126" t="s">
        <v>73</v>
      </c>
      <c r="AA2126" t="str">
        <f>"14075-4470"</f>
        <v>14075-4470</v>
      </c>
      <c r="AB2126" t="s">
        <v>74</v>
      </c>
      <c r="AC2126" t="s">
        <v>75</v>
      </c>
      <c r="AD2126" t="s">
        <v>72</v>
      </c>
      <c r="AE2126" t="s">
        <v>76</v>
      </c>
      <c r="AF2126" t="s">
        <v>3974</v>
      </c>
      <c r="AG2126" t="s">
        <v>77</v>
      </c>
    </row>
    <row r="2127" spans="1:33" x14ac:dyDescent="0.25">
      <c r="A2127" t="str">
        <f>"1417391087"</f>
        <v>1417391087</v>
      </c>
      <c r="B2127" t="str">
        <f>"03695627"</f>
        <v>03695627</v>
      </c>
      <c r="C2127" t="s">
        <v>10872</v>
      </c>
      <c r="D2127" t="s">
        <v>10873</v>
      </c>
      <c r="E2127" t="s">
        <v>10874</v>
      </c>
      <c r="L2127" t="s">
        <v>79</v>
      </c>
      <c r="M2127" t="s">
        <v>72</v>
      </c>
      <c r="R2127" t="s">
        <v>10875</v>
      </c>
      <c r="W2127" t="s">
        <v>10874</v>
      </c>
      <c r="X2127" t="s">
        <v>1305</v>
      </c>
      <c r="Y2127" t="s">
        <v>117</v>
      </c>
      <c r="Z2127" t="s">
        <v>73</v>
      </c>
      <c r="AA2127" t="str">
        <f>"14222-1836"</f>
        <v>14222-1836</v>
      </c>
      <c r="AB2127" t="s">
        <v>74</v>
      </c>
      <c r="AC2127" t="s">
        <v>75</v>
      </c>
      <c r="AD2127" t="s">
        <v>72</v>
      </c>
      <c r="AE2127" t="s">
        <v>76</v>
      </c>
      <c r="AF2127" t="s">
        <v>3974</v>
      </c>
      <c r="AG2127" t="s">
        <v>77</v>
      </c>
    </row>
    <row r="2128" spans="1:33" x14ac:dyDescent="0.25">
      <c r="A2128" t="str">
        <f>"1467431429"</f>
        <v>1467431429</v>
      </c>
      <c r="B2128" t="str">
        <f>"01660700"</f>
        <v>01660700</v>
      </c>
      <c r="C2128" t="s">
        <v>10876</v>
      </c>
      <c r="D2128" t="s">
        <v>889</v>
      </c>
      <c r="E2128" t="s">
        <v>890</v>
      </c>
      <c r="G2128" t="s">
        <v>5151</v>
      </c>
      <c r="H2128" t="s">
        <v>647</v>
      </c>
      <c r="J2128" t="s">
        <v>5152</v>
      </c>
      <c r="L2128" t="s">
        <v>79</v>
      </c>
      <c r="M2128" t="s">
        <v>72</v>
      </c>
      <c r="R2128" t="s">
        <v>891</v>
      </c>
      <c r="W2128" t="s">
        <v>890</v>
      </c>
      <c r="X2128" t="s">
        <v>301</v>
      </c>
      <c r="Y2128" t="s">
        <v>117</v>
      </c>
      <c r="Z2128" t="s">
        <v>73</v>
      </c>
      <c r="AA2128" t="str">
        <f>"14214-2648"</f>
        <v>14214-2648</v>
      </c>
      <c r="AB2128" t="s">
        <v>74</v>
      </c>
      <c r="AC2128" t="s">
        <v>75</v>
      </c>
      <c r="AD2128" t="s">
        <v>72</v>
      </c>
      <c r="AE2128" t="s">
        <v>76</v>
      </c>
      <c r="AF2128" t="s">
        <v>3961</v>
      </c>
      <c r="AG2128" t="s">
        <v>77</v>
      </c>
    </row>
    <row r="2129" spans="1:33" x14ac:dyDescent="0.25">
      <c r="A2129" t="str">
        <f>"1841252111"</f>
        <v>1841252111</v>
      </c>
      <c r="B2129" t="str">
        <f>"01604553"</f>
        <v>01604553</v>
      </c>
      <c r="C2129" t="s">
        <v>10877</v>
      </c>
      <c r="D2129" t="s">
        <v>10878</v>
      </c>
      <c r="E2129" t="s">
        <v>10879</v>
      </c>
      <c r="G2129" t="s">
        <v>10880</v>
      </c>
      <c r="H2129" t="s">
        <v>10881</v>
      </c>
      <c r="J2129" t="s">
        <v>10882</v>
      </c>
      <c r="L2129" t="s">
        <v>71</v>
      </c>
      <c r="M2129" t="s">
        <v>72</v>
      </c>
      <c r="R2129" t="s">
        <v>10883</v>
      </c>
      <c r="W2129" t="s">
        <v>10879</v>
      </c>
      <c r="X2129" t="s">
        <v>304</v>
      </c>
      <c r="Y2129" t="s">
        <v>247</v>
      </c>
      <c r="Z2129" t="s">
        <v>73</v>
      </c>
      <c r="AA2129" t="str">
        <f>"14225-4097"</f>
        <v>14225-4097</v>
      </c>
      <c r="AB2129" t="s">
        <v>74</v>
      </c>
      <c r="AC2129" t="s">
        <v>75</v>
      </c>
      <c r="AD2129" t="s">
        <v>72</v>
      </c>
      <c r="AE2129" t="s">
        <v>76</v>
      </c>
      <c r="AF2129" t="s">
        <v>3974</v>
      </c>
      <c r="AG2129" t="s">
        <v>77</v>
      </c>
    </row>
    <row r="2130" spans="1:33" x14ac:dyDescent="0.25">
      <c r="A2130" t="str">
        <f>"1083662043"</f>
        <v>1083662043</v>
      </c>
      <c r="B2130" t="str">
        <f>"01348374"</f>
        <v>01348374</v>
      </c>
      <c r="C2130" t="s">
        <v>10884</v>
      </c>
      <c r="D2130" t="s">
        <v>2610</v>
      </c>
      <c r="E2130" t="s">
        <v>2611</v>
      </c>
      <c r="G2130" t="s">
        <v>7915</v>
      </c>
      <c r="H2130" t="s">
        <v>2543</v>
      </c>
      <c r="J2130" t="s">
        <v>7916</v>
      </c>
      <c r="L2130" t="s">
        <v>71</v>
      </c>
      <c r="M2130" t="s">
        <v>72</v>
      </c>
      <c r="R2130" t="s">
        <v>2612</v>
      </c>
      <c r="W2130" t="s">
        <v>2611</v>
      </c>
      <c r="X2130" t="s">
        <v>1468</v>
      </c>
      <c r="Y2130" t="s">
        <v>1079</v>
      </c>
      <c r="Z2130" t="s">
        <v>73</v>
      </c>
      <c r="AA2130" t="str">
        <f>"14075-3738"</f>
        <v>14075-3738</v>
      </c>
      <c r="AB2130" t="s">
        <v>74</v>
      </c>
      <c r="AC2130" t="s">
        <v>75</v>
      </c>
      <c r="AD2130" t="s">
        <v>72</v>
      </c>
      <c r="AE2130" t="s">
        <v>76</v>
      </c>
      <c r="AF2130" t="s">
        <v>3974</v>
      </c>
      <c r="AG2130" t="s">
        <v>77</v>
      </c>
    </row>
    <row r="2131" spans="1:33" x14ac:dyDescent="0.25">
      <c r="A2131" t="str">
        <f>"1801866868"</f>
        <v>1801866868</v>
      </c>
      <c r="B2131" t="str">
        <f>"03108463"</f>
        <v>03108463</v>
      </c>
      <c r="C2131" t="s">
        <v>10885</v>
      </c>
      <c r="D2131" t="s">
        <v>3710</v>
      </c>
      <c r="E2131" t="s">
        <v>3711</v>
      </c>
      <c r="G2131" t="s">
        <v>7915</v>
      </c>
      <c r="H2131" t="s">
        <v>2543</v>
      </c>
      <c r="J2131" t="s">
        <v>7916</v>
      </c>
      <c r="L2131" t="s">
        <v>79</v>
      </c>
      <c r="M2131" t="s">
        <v>72</v>
      </c>
      <c r="R2131" t="s">
        <v>3712</v>
      </c>
      <c r="W2131" t="s">
        <v>3713</v>
      </c>
      <c r="X2131" t="s">
        <v>3714</v>
      </c>
      <c r="Y2131" t="s">
        <v>221</v>
      </c>
      <c r="Z2131" t="s">
        <v>73</v>
      </c>
      <c r="AA2131" t="str">
        <f>"14221-2700"</f>
        <v>14221-2700</v>
      </c>
      <c r="AB2131" t="s">
        <v>74</v>
      </c>
      <c r="AC2131" t="s">
        <v>75</v>
      </c>
      <c r="AD2131" t="s">
        <v>72</v>
      </c>
      <c r="AE2131" t="s">
        <v>76</v>
      </c>
      <c r="AF2131" t="s">
        <v>3974</v>
      </c>
      <c r="AG2131" t="s">
        <v>77</v>
      </c>
    </row>
    <row r="2132" spans="1:33" x14ac:dyDescent="0.25">
      <c r="A2132" t="str">
        <f>"1205085305"</f>
        <v>1205085305</v>
      </c>
      <c r="B2132" t="str">
        <f>"03202288"</f>
        <v>03202288</v>
      </c>
      <c r="C2132" t="s">
        <v>10886</v>
      </c>
      <c r="D2132" t="s">
        <v>10887</v>
      </c>
      <c r="E2132" t="s">
        <v>10888</v>
      </c>
      <c r="G2132" t="s">
        <v>10889</v>
      </c>
      <c r="H2132" t="s">
        <v>10890</v>
      </c>
      <c r="J2132" t="s">
        <v>10891</v>
      </c>
      <c r="L2132" t="s">
        <v>71</v>
      </c>
      <c r="M2132" t="s">
        <v>72</v>
      </c>
      <c r="R2132" t="s">
        <v>10892</v>
      </c>
      <c r="W2132" t="s">
        <v>10888</v>
      </c>
      <c r="X2132" t="s">
        <v>10893</v>
      </c>
      <c r="Y2132" t="s">
        <v>533</v>
      </c>
      <c r="Z2132" t="s">
        <v>73</v>
      </c>
      <c r="AA2132" t="str">
        <f>"14059-9546"</f>
        <v>14059-9546</v>
      </c>
      <c r="AB2132" t="s">
        <v>74</v>
      </c>
      <c r="AC2132" t="s">
        <v>75</v>
      </c>
      <c r="AD2132" t="s">
        <v>72</v>
      </c>
      <c r="AE2132" t="s">
        <v>76</v>
      </c>
      <c r="AF2132" t="s">
        <v>3974</v>
      </c>
      <c r="AG2132" t="s">
        <v>77</v>
      </c>
    </row>
    <row r="2133" spans="1:33" x14ac:dyDescent="0.25">
      <c r="A2133" t="str">
        <f>"1184608911"</f>
        <v>1184608911</v>
      </c>
      <c r="B2133" t="str">
        <f>"01233090"</f>
        <v>01233090</v>
      </c>
      <c r="C2133" t="s">
        <v>10894</v>
      </c>
      <c r="D2133" t="s">
        <v>3112</v>
      </c>
      <c r="E2133" t="s">
        <v>3113</v>
      </c>
      <c r="G2133" t="s">
        <v>4026</v>
      </c>
      <c r="H2133" t="s">
        <v>753</v>
      </c>
      <c r="J2133" t="s">
        <v>4027</v>
      </c>
      <c r="L2133" t="s">
        <v>79</v>
      </c>
      <c r="M2133" t="s">
        <v>72</v>
      </c>
      <c r="R2133" t="s">
        <v>3114</v>
      </c>
      <c r="W2133" t="s">
        <v>3113</v>
      </c>
      <c r="X2133" t="s">
        <v>300</v>
      </c>
      <c r="Y2133" t="s">
        <v>117</v>
      </c>
      <c r="Z2133" t="s">
        <v>73</v>
      </c>
      <c r="AA2133" t="str">
        <f>"14221-5329"</f>
        <v>14221-5329</v>
      </c>
      <c r="AB2133" t="s">
        <v>74</v>
      </c>
      <c r="AC2133" t="s">
        <v>75</v>
      </c>
      <c r="AD2133" t="s">
        <v>72</v>
      </c>
      <c r="AE2133" t="s">
        <v>76</v>
      </c>
      <c r="AF2133" t="s">
        <v>3974</v>
      </c>
      <c r="AG2133" t="s">
        <v>77</v>
      </c>
    </row>
    <row r="2134" spans="1:33" x14ac:dyDescent="0.25">
      <c r="A2134" t="str">
        <f>"1649222134"</f>
        <v>1649222134</v>
      </c>
      <c r="B2134" t="str">
        <f>"01263547"</f>
        <v>01263547</v>
      </c>
      <c r="C2134" t="s">
        <v>10895</v>
      </c>
      <c r="D2134" t="s">
        <v>10896</v>
      </c>
      <c r="E2134" t="s">
        <v>10897</v>
      </c>
      <c r="G2134" t="s">
        <v>4721</v>
      </c>
      <c r="H2134" t="s">
        <v>4722</v>
      </c>
      <c r="J2134" t="s">
        <v>4723</v>
      </c>
      <c r="L2134" t="s">
        <v>79</v>
      </c>
      <c r="M2134" t="s">
        <v>72</v>
      </c>
      <c r="R2134" t="s">
        <v>10898</v>
      </c>
      <c r="W2134" t="s">
        <v>10897</v>
      </c>
      <c r="X2134" t="s">
        <v>1362</v>
      </c>
      <c r="Y2134" t="s">
        <v>240</v>
      </c>
      <c r="Z2134" t="s">
        <v>73</v>
      </c>
      <c r="AA2134" t="str">
        <f>"14094-5226"</f>
        <v>14094-5226</v>
      </c>
      <c r="AB2134" t="s">
        <v>74</v>
      </c>
      <c r="AC2134" t="s">
        <v>75</v>
      </c>
      <c r="AD2134" t="s">
        <v>72</v>
      </c>
      <c r="AE2134" t="s">
        <v>76</v>
      </c>
      <c r="AF2134" t="s">
        <v>3974</v>
      </c>
      <c r="AG2134" t="s">
        <v>77</v>
      </c>
    </row>
    <row r="2135" spans="1:33" x14ac:dyDescent="0.25">
      <c r="A2135" t="str">
        <f>"1376547026"</f>
        <v>1376547026</v>
      </c>
      <c r="B2135" t="str">
        <f>"01561499"</f>
        <v>01561499</v>
      </c>
      <c r="C2135" t="s">
        <v>10899</v>
      </c>
      <c r="D2135" t="s">
        <v>3420</v>
      </c>
      <c r="E2135" t="s">
        <v>3421</v>
      </c>
      <c r="G2135" t="s">
        <v>10900</v>
      </c>
      <c r="H2135" t="s">
        <v>1523</v>
      </c>
      <c r="J2135" t="s">
        <v>10901</v>
      </c>
      <c r="L2135" t="s">
        <v>79</v>
      </c>
      <c r="M2135" t="s">
        <v>72</v>
      </c>
      <c r="R2135" t="s">
        <v>3422</v>
      </c>
      <c r="W2135" t="s">
        <v>3423</v>
      </c>
      <c r="X2135" t="s">
        <v>234</v>
      </c>
      <c r="Y2135" t="s">
        <v>117</v>
      </c>
      <c r="Z2135" t="s">
        <v>73</v>
      </c>
      <c r="AA2135" t="str">
        <f>"14220-2039"</f>
        <v>14220-2039</v>
      </c>
      <c r="AB2135" t="s">
        <v>74</v>
      </c>
      <c r="AC2135" t="s">
        <v>75</v>
      </c>
      <c r="AD2135" t="s">
        <v>72</v>
      </c>
      <c r="AE2135" t="s">
        <v>76</v>
      </c>
      <c r="AF2135" t="s">
        <v>3974</v>
      </c>
      <c r="AG2135" t="s">
        <v>77</v>
      </c>
    </row>
    <row r="2136" spans="1:33" x14ac:dyDescent="0.25">
      <c r="A2136" t="str">
        <f>"1902885601"</f>
        <v>1902885601</v>
      </c>
      <c r="B2136" t="str">
        <f>"02588374"</f>
        <v>02588374</v>
      </c>
      <c r="C2136" t="s">
        <v>10902</v>
      </c>
      <c r="D2136" t="s">
        <v>1288</v>
      </c>
      <c r="E2136" t="s">
        <v>1289</v>
      </c>
      <c r="G2136" t="s">
        <v>10903</v>
      </c>
      <c r="H2136" t="s">
        <v>10904</v>
      </c>
      <c r="J2136" t="s">
        <v>10905</v>
      </c>
      <c r="L2136" t="s">
        <v>79</v>
      </c>
      <c r="M2136" t="s">
        <v>72</v>
      </c>
      <c r="R2136" t="s">
        <v>1290</v>
      </c>
      <c r="W2136" t="s">
        <v>1289</v>
      </c>
      <c r="X2136" t="s">
        <v>1291</v>
      </c>
      <c r="Y2136" t="s">
        <v>117</v>
      </c>
      <c r="Z2136" t="s">
        <v>73</v>
      </c>
      <c r="AA2136" t="str">
        <f>"14203-1194"</f>
        <v>14203-1194</v>
      </c>
      <c r="AB2136" t="s">
        <v>74</v>
      </c>
      <c r="AC2136" t="s">
        <v>75</v>
      </c>
      <c r="AD2136" t="s">
        <v>72</v>
      </c>
      <c r="AE2136" t="s">
        <v>76</v>
      </c>
      <c r="AG2136" t="s">
        <v>77</v>
      </c>
    </row>
    <row r="2137" spans="1:33" x14ac:dyDescent="0.25">
      <c r="A2137" t="str">
        <f>"1396724357"</f>
        <v>1396724357</v>
      </c>
      <c r="B2137" t="str">
        <f>"01709351"</f>
        <v>01709351</v>
      </c>
      <c r="C2137" t="s">
        <v>10906</v>
      </c>
      <c r="D2137" t="s">
        <v>1202</v>
      </c>
      <c r="E2137" t="s">
        <v>1203</v>
      </c>
      <c r="G2137" t="s">
        <v>5164</v>
      </c>
      <c r="H2137" t="s">
        <v>5165</v>
      </c>
      <c r="J2137" t="s">
        <v>5166</v>
      </c>
      <c r="L2137" t="s">
        <v>79</v>
      </c>
      <c r="M2137" t="s">
        <v>72</v>
      </c>
      <c r="R2137" t="s">
        <v>1204</v>
      </c>
      <c r="W2137" t="s">
        <v>1203</v>
      </c>
      <c r="X2137" t="s">
        <v>295</v>
      </c>
      <c r="Y2137" t="s">
        <v>117</v>
      </c>
      <c r="Z2137" t="s">
        <v>73</v>
      </c>
      <c r="AA2137" t="str">
        <f>"14215-3021"</f>
        <v>14215-3021</v>
      </c>
      <c r="AB2137" t="s">
        <v>74</v>
      </c>
      <c r="AC2137" t="s">
        <v>75</v>
      </c>
      <c r="AD2137" t="s">
        <v>72</v>
      </c>
      <c r="AE2137" t="s">
        <v>76</v>
      </c>
      <c r="AG2137" t="s">
        <v>77</v>
      </c>
    </row>
    <row r="2138" spans="1:33" x14ac:dyDescent="0.25">
      <c r="A2138" t="str">
        <f>"1710957063"</f>
        <v>1710957063</v>
      </c>
      <c r="B2138" t="str">
        <f>"02273412"</f>
        <v>02273412</v>
      </c>
      <c r="C2138" t="s">
        <v>10907</v>
      </c>
      <c r="D2138" t="s">
        <v>1444</v>
      </c>
      <c r="E2138" t="s">
        <v>1445</v>
      </c>
      <c r="G2138" t="s">
        <v>3969</v>
      </c>
      <c r="H2138" t="s">
        <v>3970</v>
      </c>
      <c r="J2138" t="s">
        <v>3971</v>
      </c>
      <c r="L2138" t="s">
        <v>79</v>
      </c>
      <c r="M2138" t="s">
        <v>72</v>
      </c>
      <c r="R2138" t="s">
        <v>1446</v>
      </c>
      <c r="W2138" t="s">
        <v>1445</v>
      </c>
      <c r="X2138" t="s">
        <v>295</v>
      </c>
      <c r="Y2138" t="s">
        <v>117</v>
      </c>
      <c r="Z2138" t="s">
        <v>73</v>
      </c>
      <c r="AA2138" t="str">
        <f>"14215-3021"</f>
        <v>14215-3021</v>
      </c>
      <c r="AB2138" t="s">
        <v>74</v>
      </c>
      <c r="AC2138" t="s">
        <v>75</v>
      </c>
      <c r="AD2138" t="s">
        <v>72</v>
      </c>
      <c r="AE2138" t="s">
        <v>76</v>
      </c>
      <c r="AF2138" t="s">
        <v>3974</v>
      </c>
      <c r="AG2138" t="s">
        <v>77</v>
      </c>
    </row>
    <row r="2139" spans="1:33" x14ac:dyDescent="0.25">
      <c r="A2139" t="str">
        <f>"1609832914"</f>
        <v>1609832914</v>
      </c>
      <c r="B2139" t="str">
        <f>"01842924"</f>
        <v>01842924</v>
      </c>
      <c r="C2139" t="s">
        <v>10908</v>
      </c>
      <c r="D2139" t="s">
        <v>10909</v>
      </c>
      <c r="E2139" t="s">
        <v>10910</v>
      </c>
      <c r="G2139" t="s">
        <v>4657</v>
      </c>
      <c r="H2139" t="s">
        <v>4658</v>
      </c>
      <c r="J2139" t="s">
        <v>4659</v>
      </c>
      <c r="L2139" t="s">
        <v>80</v>
      </c>
      <c r="M2139" t="s">
        <v>72</v>
      </c>
      <c r="R2139" t="s">
        <v>10911</v>
      </c>
      <c r="W2139" t="s">
        <v>10912</v>
      </c>
      <c r="X2139" t="s">
        <v>8970</v>
      </c>
      <c r="Y2139" t="s">
        <v>326</v>
      </c>
      <c r="Z2139" t="s">
        <v>73</v>
      </c>
      <c r="AA2139" t="str">
        <f>"14127-1725"</f>
        <v>14127-1725</v>
      </c>
      <c r="AB2139" t="s">
        <v>74</v>
      </c>
      <c r="AC2139" t="s">
        <v>75</v>
      </c>
      <c r="AD2139" t="s">
        <v>72</v>
      </c>
      <c r="AE2139" t="s">
        <v>76</v>
      </c>
      <c r="AF2139" t="s">
        <v>3961</v>
      </c>
      <c r="AG2139" t="s">
        <v>77</v>
      </c>
    </row>
    <row r="2140" spans="1:33" x14ac:dyDescent="0.25">
      <c r="A2140" t="str">
        <f>"1720012834"</f>
        <v>1720012834</v>
      </c>
      <c r="B2140" t="str">
        <f>"02277365"</f>
        <v>02277365</v>
      </c>
      <c r="C2140" t="s">
        <v>10913</v>
      </c>
      <c r="D2140" t="s">
        <v>10914</v>
      </c>
      <c r="E2140" t="s">
        <v>10915</v>
      </c>
      <c r="G2140" t="s">
        <v>4066</v>
      </c>
      <c r="H2140" t="s">
        <v>4067</v>
      </c>
      <c r="J2140" t="s">
        <v>4068</v>
      </c>
      <c r="L2140" t="s">
        <v>79</v>
      </c>
      <c r="M2140" t="s">
        <v>72</v>
      </c>
      <c r="R2140" t="s">
        <v>10916</v>
      </c>
      <c r="W2140" t="s">
        <v>10915</v>
      </c>
      <c r="X2140" t="s">
        <v>182</v>
      </c>
      <c r="Y2140" t="s">
        <v>326</v>
      </c>
      <c r="Z2140" t="s">
        <v>73</v>
      </c>
      <c r="AA2140" t="str">
        <f>"14127-1749"</f>
        <v>14127-1749</v>
      </c>
      <c r="AB2140" t="s">
        <v>74</v>
      </c>
      <c r="AC2140" t="s">
        <v>75</v>
      </c>
      <c r="AD2140" t="s">
        <v>72</v>
      </c>
      <c r="AE2140" t="s">
        <v>76</v>
      </c>
      <c r="AF2140" t="s">
        <v>3974</v>
      </c>
      <c r="AG2140" t="s">
        <v>77</v>
      </c>
    </row>
    <row r="2141" spans="1:33" x14ac:dyDescent="0.25">
      <c r="A2141" t="str">
        <f>"1841259108"</f>
        <v>1841259108</v>
      </c>
      <c r="B2141" t="str">
        <f>"01033889"</f>
        <v>01033889</v>
      </c>
      <c r="C2141" t="s">
        <v>10917</v>
      </c>
      <c r="D2141" t="s">
        <v>3555</v>
      </c>
      <c r="E2141" t="s">
        <v>3556</v>
      </c>
      <c r="G2141" t="s">
        <v>5010</v>
      </c>
      <c r="H2141" t="s">
        <v>1119</v>
      </c>
      <c r="J2141" t="s">
        <v>5011</v>
      </c>
      <c r="L2141" t="s">
        <v>79</v>
      </c>
      <c r="M2141" t="s">
        <v>72</v>
      </c>
      <c r="R2141" t="s">
        <v>3557</v>
      </c>
      <c r="W2141" t="s">
        <v>3556</v>
      </c>
      <c r="X2141" t="s">
        <v>3558</v>
      </c>
      <c r="Y2141" t="s">
        <v>117</v>
      </c>
      <c r="Z2141" t="s">
        <v>73</v>
      </c>
      <c r="AA2141" t="str">
        <f>"14215-1713"</f>
        <v>14215-1713</v>
      </c>
      <c r="AB2141" t="s">
        <v>74</v>
      </c>
      <c r="AC2141" t="s">
        <v>75</v>
      </c>
      <c r="AD2141" t="s">
        <v>72</v>
      </c>
      <c r="AE2141" t="s">
        <v>76</v>
      </c>
      <c r="AF2141" t="s">
        <v>3974</v>
      </c>
      <c r="AG2141" t="s">
        <v>77</v>
      </c>
    </row>
    <row r="2142" spans="1:33" x14ac:dyDescent="0.25">
      <c r="A2142" t="str">
        <f>"1992735377"</f>
        <v>1992735377</v>
      </c>
      <c r="B2142" t="str">
        <f>"01518827"</f>
        <v>01518827</v>
      </c>
      <c r="C2142" t="s">
        <v>10918</v>
      </c>
      <c r="D2142" t="s">
        <v>10919</v>
      </c>
      <c r="E2142" t="s">
        <v>10920</v>
      </c>
      <c r="G2142" t="s">
        <v>4786</v>
      </c>
      <c r="H2142" t="s">
        <v>5372</v>
      </c>
      <c r="J2142" t="s">
        <v>4787</v>
      </c>
      <c r="L2142" t="s">
        <v>79</v>
      </c>
      <c r="M2142" t="s">
        <v>72</v>
      </c>
      <c r="R2142" t="s">
        <v>10921</v>
      </c>
      <c r="W2142" t="s">
        <v>10922</v>
      </c>
      <c r="Y2142" t="s">
        <v>242</v>
      </c>
      <c r="Z2142" t="s">
        <v>73</v>
      </c>
      <c r="AA2142" t="str">
        <f>"14701-7096"</f>
        <v>14701-7096</v>
      </c>
      <c r="AB2142" t="s">
        <v>74</v>
      </c>
      <c r="AC2142" t="s">
        <v>75</v>
      </c>
      <c r="AD2142" t="s">
        <v>72</v>
      </c>
      <c r="AE2142" t="s">
        <v>76</v>
      </c>
      <c r="AF2142" t="s">
        <v>3974</v>
      </c>
      <c r="AG2142" t="s">
        <v>77</v>
      </c>
    </row>
    <row r="2143" spans="1:33" x14ac:dyDescent="0.25">
      <c r="A2143" t="str">
        <f>"1811966880"</f>
        <v>1811966880</v>
      </c>
      <c r="B2143" t="str">
        <f>"01721420"</f>
        <v>01721420</v>
      </c>
      <c r="C2143" t="s">
        <v>10923</v>
      </c>
      <c r="D2143" t="s">
        <v>1735</v>
      </c>
      <c r="E2143" t="s">
        <v>1736</v>
      </c>
      <c r="G2143" t="s">
        <v>10924</v>
      </c>
      <c r="H2143" t="s">
        <v>1738</v>
      </c>
      <c r="J2143" t="s">
        <v>10925</v>
      </c>
      <c r="L2143" t="s">
        <v>79</v>
      </c>
      <c r="M2143" t="s">
        <v>72</v>
      </c>
      <c r="R2143" t="s">
        <v>1737</v>
      </c>
      <c r="W2143" t="s">
        <v>1736</v>
      </c>
      <c r="X2143" t="s">
        <v>1739</v>
      </c>
      <c r="Y2143" t="s">
        <v>259</v>
      </c>
      <c r="Z2143" t="s">
        <v>73</v>
      </c>
      <c r="AA2143" t="str">
        <f>"14081"</f>
        <v>14081</v>
      </c>
      <c r="AB2143" t="s">
        <v>74</v>
      </c>
      <c r="AC2143" t="s">
        <v>75</v>
      </c>
      <c r="AD2143" t="s">
        <v>72</v>
      </c>
      <c r="AE2143" t="s">
        <v>76</v>
      </c>
      <c r="AF2143" t="s">
        <v>3974</v>
      </c>
      <c r="AG2143" t="s">
        <v>77</v>
      </c>
    </row>
    <row r="2144" spans="1:33" x14ac:dyDescent="0.25">
      <c r="A2144" t="str">
        <f>"1124019948"</f>
        <v>1124019948</v>
      </c>
      <c r="B2144" t="str">
        <f>"02342107"</f>
        <v>02342107</v>
      </c>
      <c r="C2144" t="s">
        <v>10926</v>
      </c>
      <c r="D2144" t="s">
        <v>10927</v>
      </c>
      <c r="E2144" t="s">
        <v>10928</v>
      </c>
      <c r="G2144" t="s">
        <v>4797</v>
      </c>
      <c r="H2144" t="s">
        <v>4798</v>
      </c>
      <c r="I2144">
        <v>104</v>
      </c>
      <c r="J2144" t="s">
        <v>4799</v>
      </c>
      <c r="L2144" t="s">
        <v>79</v>
      </c>
      <c r="M2144" t="s">
        <v>72</v>
      </c>
      <c r="R2144" t="s">
        <v>10929</v>
      </c>
      <c r="W2144" t="s">
        <v>10930</v>
      </c>
      <c r="X2144" t="s">
        <v>6217</v>
      </c>
      <c r="Y2144" t="s">
        <v>408</v>
      </c>
      <c r="Z2144" t="s">
        <v>73</v>
      </c>
      <c r="AA2144" t="str">
        <f>"14757-1017"</f>
        <v>14757-1017</v>
      </c>
      <c r="AB2144" t="s">
        <v>74</v>
      </c>
      <c r="AC2144" t="s">
        <v>75</v>
      </c>
      <c r="AD2144" t="s">
        <v>72</v>
      </c>
      <c r="AE2144" t="s">
        <v>76</v>
      </c>
      <c r="AF2144" t="s">
        <v>4049</v>
      </c>
      <c r="AG2144" t="s">
        <v>77</v>
      </c>
    </row>
    <row r="2145" spans="1:33" x14ac:dyDescent="0.25">
      <c r="A2145" t="str">
        <f>"1760455356"</f>
        <v>1760455356</v>
      </c>
      <c r="B2145" t="str">
        <f>"01030515"</f>
        <v>01030515</v>
      </c>
      <c r="C2145" t="s">
        <v>10931</v>
      </c>
      <c r="D2145" t="s">
        <v>2900</v>
      </c>
      <c r="E2145" t="s">
        <v>2901</v>
      </c>
      <c r="G2145" t="s">
        <v>4786</v>
      </c>
      <c r="H2145" t="s">
        <v>1728</v>
      </c>
      <c r="J2145" t="s">
        <v>4787</v>
      </c>
      <c r="L2145" t="s">
        <v>79</v>
      </c>
      <c r="M2145" t="s">
        <v>72</v>
      </c>
      <c r="R2145" t="s">
        <v>2902</v>
      </c>
      <c r="W2145" t="s">
        <v>2903</v>
      </c>
      <c r="Y2145" t="s">
        <v>117</v>
      </c>
      <c r="Z2145" t="s">
        <v>73</v>
      </c>
      <c r="AA2145" t="str">
        <f>"14214-2692"</f>
        <v>14214-2692</v>
      </c>
      <c r="AB2145" t="s">
        <v>74</v>
      </c>
      <c r="AC2145" t="s">
        <v>75</v>
      </c>
      <c r="AD2145" t="s">
        <v>72</v>
      </c>
      <c r="AE2145" t="s">
        <v>76</v>
      </c>
      <c r="AF2145" t="s">
        <v>3974</v>
      </c>
      <c r="AG2145" t="s">
        <v>77</v>
      </c>
    </row>
    <row r="2146" spans="1:33" x14ac:dyDescent="0.25">
      <c r="A2146" t="str">
        <f>"1285877050"</f>
        <v>1285877050</v>
      </c>
      <c r="B2146" t="str">
        <f>"03476597"</f>
        <v>03476597</v>
      </c>
      <c r="C2146" t="s">
        <v>10932</v>
      </c>
      <c r="D2146" t="s">
        <v>3107</v>
      </c>
      <c r="E2146" t="s">
        <v>3108</v>
      </c>
      <c r="G2146" t="s">
        <v>5959</v>
      </c>
      <c r="H2146" t="s">
        <v>5960</v>
      </c>
      <c r="J2146" t="s">
        <v>5961</v>
      </c>
      <c r="L2146" t="s">
        <v>80</v>
      </c>
      <c r="M2146" t="s">
        <v>72</v>
      </c>
      <c r="R2146" t="s">
        <v>3109</v>
      </c>
      <c r="W2146" t="s">
        <v>3108</v>
      </c>
      <c r="X2146" t="s">
        <v>3110</v>
      </c>
      <c r="Y2146" t="s">
        <v>221</v>
      </c>
      <c r="Z2146" t="s">
        <v>73</v>
      </c>
      <c r="AA2146" t="str">
        <f>"14221-5967"</f>
        <v>14221-5967</v>
      </c>
      <c r="AB2146" t="s">
        <v>74</v>
      </c>
      <c r="AC2146" t="s">
        <v>75</v>
      </c>
      <c r="AD2146" t="s">
        <v>72</v>
      </c>
      <c r="AE2146" t="s">
        <v>76</v>
      </c>
      <c r="AF2146" t="s">
        <v>3961</v>
      </c>
      <c r="AG2146" t="s">
        <v>77</v>
      </c>
    </row>
    <row r="2147" spans="1:33" x14ac:dyDescent="0.25">
      <c r="A2147" t="str">
        <f>"1134122773"</f>
        <v>1134122773</v>
      </c>
      <c r="B2147" t="str">
        <f>"01406808"</f>
        <v>01406808</v>
      </c>
      <c r="C2147" t="s">
        <v>10933</v>
      </c>
      <c r="D2147" t="s">
        <v>2812</v>
      </c>
      <c r="E2147" t="s">
        <v>2813</v>
      </c>
      <c r="G2147" t="s">
        <v>8362</v>
      </c>
      <c r="H2147" t="s">
        <v>783</v>
      </c>
      <c r="J2147" t="s">
        <v>8363</v>
      </c>
      <c r="L2147" t="s">
        <v>79</v>
      </c>
      <c r="M2147" t="s">
        <v>72</v>
      </c>
      <c r="R2147" t="s">
        <v>2814</v>
      </c>
      <c r="W2147" t="s">
        <v>2815</v>
      </c>
      <c r="X2147" t="s">
        <v>2193</v>
      </c>
      <c r="Y2147" t="s">
        <v>296</v>
      </c>
      <c r="Z2147" t="s">
        <v>73</v>
      </c>
      <c r="AA2147" t="str">
        <f>"14086-1262"</f>
        <v>14086-1262</v>
      </c>
      <c r="AB2147" t="s">
        <v>74</v>
      </c>
      <c r="AC2147" t="s">
        <v>75</v>
      </c>
      <c r="AD2147" t="s">
        <v>72</v>
      </c>
      <c r="AE2147" t="s">
        <v>76</v>
      </c>
      <c r="AF2147" t="s">
        <v>3974</v>
      </c>
      <c r="AG2147" t="s">
        <v>77</v>
      </c>
    </row>
    <row r="2148" spans="1:33" x14ac:dyDescent="0.25">
      <c r="A2148" t="str">
        <f>"1326073008"</f>
        <v>1326073008</v>
      </c>
      <c r="B2148" t="str">
        <f>"01545500"</f>
        <v>01545500</v>
      </c>
      <c r="C2148" t="s">
        <v>10934</v>
      </c>
      <c r="D2148" t="s">
        <v>10935</v>
      </c>
      <c r="E2148" t="s">
        <v>10936</v>
      </c>
      <c r="G2148" t="s">
        <v>5995</v>
      </c>
      <c r="H2148" t="s">
        <v>5786</v>
      </c>
      <c r="J2148" t="s">
        <v>5996</v>
      </c>
      <c r="L2148" t="s">
        <v>80</v>
      </c>
      <c r="M2148" t="s">
        <v>81</v>
      </c>
      <c r="R2148" t="s">
        <v>10937</v>
      </c>
      <c r="W2148" t="s">
        <v>10936</v>
      </c>
      <c r="X2148" t="s">
        <v>2530</v>
      </c>
      <c r="Y2148" t="s">
        <v>479</v>
      </c>
      <c r="Z2148" t="s">
        <v>73</v>
      </c>
      <c r="AA2148" t="str">
        <f>"14141-1000"</f>
        <v>14141-1000</v>
      </c>
      <c r="AB2148" t="s">
        <v>74</v>
      </c>
      <c r="AC2148" t="s">
        <v>75</v>
      </c>
      <c r="AD2148" t="s">
        <v>72</v>
      </c>
      <c r="AE2148" t="s">
        <v>76</v>
      </c>
      <c r="AF2148" t="s">
        <v>3961</v>
      </c>
      <c r="AG2148" t="s">
        <v>77</v>
      </c>
    </row>
    <row r="2149" spans="1:33" x14ac:dyDescent="0.25">
      <c r="A2149" t="str">
        <f>"1851467757"</f>
        <v>1851467757</v>
      </c>
      <c r="B2149" t="str">
        <f>"02845283"</f>
        <v>02845283</v>
      </c>
      <c r="C2149" t="s">
        <v>10938</v>
      </c>
      <c r="D2149" t="s">
        <v>10939</v>
      </c>
      <c r="E2149" t="s">
        <v>10940</v>
      </c>
      <c r="G2149" t="s">
        <v>5076</v>
      </c>
      <c r="H2149" t="s">
        <v>5077</v>
      </c>
      <c r="J2149" t="s">
        <v>5078</v>
      </c>
      <c r="L2149" t="s">
        <v>79</v>
      </c>
      <c r="M2149" t="s">
        <v>72</v>
      </c>
      <c r="R2149" t="s">
        <v>10940</v>
      </c>
      <c r="W2149" t="s">
        <v>10940</v>
      </c>
      <c r="X2149" t="s">
        <v>234</v>
      </c>
      <c r="Y2149" t="s">
        <v>117</v>
      </c>
      <c r="Z2149" t="s">
        <v>73</v>
      </c>
      <c r="AA2149" t="str">
        <f>"14220-2039"</f>
        <v>14220-2039</v>
      </c>
      <c r="AB2149" t="s">
        <v>74</v>
      </c>
      <c r="AC2149" t="s">
        <v>75</v>
      </c>
      <c r="AD2149" t="s">
        <v>72</v>
      </c>
      <c r="AE2149" t="s">
        <v>76</v>
      </c>
      <c r="AF2149" t="s">
        <v>3974</v>
      </c>
      <c r="AG2149" t="s">
        <v>77</v>
      </c>
    </row>
    <row r="2150" spans="1:33" x14ac:dyDescent="0.25">
      <c r="A2150" t="str">
        <f>"1265499008"</f>
        <v>1265499008</v>
      </c>
      <c r="B2150" t="str">
        <f>"00751193"</f>
        <v>00751193</v>
      </c>
      <c r="C2150" t="s">
        <v>10941</v>
      </c>
      <c r="D2150" t="s">
        <v>3023</v>
      </c>
      <c r="E2150" t="s">
        <v>3024</v>
      </c>
      <c r="G2150" t="s">
        <v>10941</v>
      </c>
      <c r="H2150" t="s">
        <v>3025</v>
      </c>
      <c r="J2150" t="s">
        <v>10942</v>
      </c>
      <c r="L2150" t="s">
        <v>80</v>
      </c>
      <c r="M2150" t="s">
        <v>72</v>
      </c>
      <c r="R2150" t="s">
        <v>3026</v>
      </c>
      <c r="W2150" t="s">
        <v>3027</v>
      </c>
      <c r="X2150" t="s">
        <v>3028</v>
      </c>
      <c r="Y2150" t="s">
        <v>455</v>
      </c>
      <c r="Z2150" t="s">
        <v>73</v>
      </c>
      <c r="AA2150" t="str">
        <f>"14026-1038"</f>
        <v>14026-1038</v>
      </c>
      <c r="AB2150" t="s">
        <v>74</v>
      </c>
      <c r="AC2150" t="s">
        <v>75</v>
      </c>
      <c r="AD2150" t="s">
        <v>72</v>
      </c>
      <c r="AE2150" t="s">
        <v>76</v>
      </c>
      <c r="AF2150" t="s">
        <v>4431</v>
      </c>
      <c r="AG2150" t="s">
        <v>77</v>
      </c>
    </row>
    <row r="2151" spans="1:33" x14ac:dyDescent="0.25">
      <c r="A2151" t="str">
        <f>"1609852714"</f>
        <v>1609852714</v>
      </c>
      <c r="B2151" t="str">
        <f>"02147780"</f>
        <v>02147780</v>
      </c>
      <c r="C2151" t="s">
        <v>10943</v>
      </c>
      <c r="D2151" t="s">
        <v>10944</v>
      </c>
      <c r="E2151" t="s">
        <v>10945</v>
      </c>
      <c r="G2151" t="s">
        <v>4883</v>
      </c>
      <c r="H2151" t="s">
        <v>5619</v>
      </c>
      <c r="J2151" t="s">
        <v>5620</v>
      </c>
      <c r="L2151" t="s">
        <v>80</v>
      </c>
      <c r="M2151" t="s">
        <v>72</v>
      </c>
      <c r="R2151" t="s">
        <v>10946</v>
      </c>
      <c r="W2151" t="s">
        <v>10945</v>
      </c>
      <c r="X2151" t="s">
        <v>946</v>
      </c>
      <c r="Y2151" t="s">
        <v>188</v>
      </c>
      <c r="Z2151" t="s">
        <v>73</v>
      </c>
      <c r="AA2151" t="str">
        <f>"14092-2149"</f>
        <v>14092-2149</v>
      </c>
      <c r="AB2151" t="s">
        <v>74</v>
      </c>
      <c r="AC2151" t="s">
        <v>75</v>
      </c>
      <c r="AD2151" t="s">
        <v>72</v>
      </c>
      <c r="AE2151" t="s">
        <v>76</v>
      </c>
      <c r="AF2151" t="s">
        <v>3961</v>
      </c>
      <c r="AG2151" t="s">
        <v>77</v>
      </c>
    </row>
    <row r="2152" spans="1:33" x14ac:dyDescent="0.25">
      <c r="A2152" t="str">
        <f>"1447429576"</f>
        <v>1447429576</v>
      </c>
      <c r="B2152" t="str">
        <f>"02967499"</f>
        <v>02967499</v>
      </c>
      <c r="C2152" t="s">
        <v>10947</v>
      </c>
      <c r="D2152" t="s">
        <v>621</v>
      </c>
      <c r="E2152" t="s">
        <v>622</v>
      </c>
      <c r="G2152" t="s">
        <v>7159</v>
      </c>
      <c r="H2152" t="s">
        <v>623</v>
      </c>
      <c r="J2152" t="s">
        <v>7160</v>
      </c>
      <c r="L2152" t="s">
        <v>79</v>
      </c>
      <c r="M2152" t="s">
        <v>72</v>
      </c>
      <c r="R2152" t="s">
        <v>624</v>
      </c>
      <c r="W2152" t="s">
        <v>622</v>
      </c>
      <c r="X2152" t="s">
        <v>625</v>
      </c>
      <c r="Y2152" t="s">
        <v>326</v>
      </c>
      <c r="Z2152" t="s">
        <v>73</v>
      </c>
      <c r="AA2152" t="str">
        <f>"14127-1573"</f>
        <v>14127-1573</v>
      </c>
      <c r="AB2152" t="s">
        <v>74</v>
      </c>
      <c r="AC2152" t="s">
        <v>75</v>
      </c>
      <c r="AD2152" t="s">
        <v>72</v>
      </c>
      <c r="AE2152" t="s">
        <v>76</v>
      </c>
      <c r="AF2152" t="s">
        <v>3974</v>
      </c>
      <c r="AG2152" t="s">
        <v>77</v>
      </c>
    </row>
    <row r="2153" spans="1:33" x14ac:dyDescent="0.25">
      <c r="A2153" t="str">
        <f>"1538234661"</f>
        <v>1538234661</v>
      </c>
      <c r="B2153" t="str">
        <f>"00815581"</f>
        <v>00815581</v>
      </c>
      <c r="C2153" t="s">
        <v>10948</v>
      </c>
      <c r="D2153" t="s">
        <v>1342</v>
      </c>
      <c r="E2153" t="s">
        <v>1343</v>
      </c>
      <c r="G2153" t="s">
        <v>4017</v>
      </c>
      <c r="H2153" t="s">
        <v>597</v>
      </c>
      <c r="J2153" t="s">
        <v>4018</v>
      </c>
      <c r="L2153" t="s">
        <v>79</v>
      </c>
      <c r="M2153" t="s">
        <v>72</v>
      </c>
      <c r="R2153" t="s">
        <v>1344</v>
      </c>
      <c r="W2153" t="s">
        <v>1343</v>
      </c>
      <c r="X2153" t="s">
        <v>1345</v>
      </c>
      <c r="Y2153" t="s">
        <v>117</v>
      </c>
      <c r="Z2153" t="s">
        <v>73</v>
      </c>
      <c r="AA2153" t="str">
        <f>"14203-1126"</f>
        <v>14203-1126</v>
      </c>
      <c r="AB2153" t="s">
        <v>74</v>
      </c>
      <c r="AC2153" t="s">
        <v>75</v>
      </c>
      <c r="AD2153" t="s">
        <v>72</v>
      </c>
      <c r="AE2153" t="s">
        <v>76</v>
      </c>
      <c r="AF2153" t="s">
        <v>3974</v>
      </c>
      <c r="AG2153" t="s">
        <v>77</v>
      </c>
    </row>
    <row r="2154" spans="1:33" x14ac:dyDescent="0.25">
      <c r="A2154" t="str">
        <f>"1629018734"</f>
        <v>1629018734</v>
      </c>
      <c r="B2154" t="str">
        <f>"00687590"</f>
        <v>00687590</v>
      </c>
      <c r="C2154" t="s">
        <v>10949</v>
      </c>
      <c r="D2154" t="s">
        <v>10950</v>
      </c>
      <c r="E2154" t="s">
        <v>10951</v>
      </c>
      <c r="G2154" t="s">
        <v>10952</v>
      </c>
      <c r="H2154" t="s">
        <v>10953</v>
      </c>
      <c r="J2154" t="s">
        <v>10954</v>
      </c>
      <c r="L2154" t="s">
        <v>79</v>
      </c>
      <c r="M2154" t="s">
        <v>72</v>
      </c>
      <c r="R2154" t="s">
        <v>10955</v>
      </c>
      <c r="W2154" t="s">
        <v>10956</v>
      </c>
      <c r="X2154" t="s">
        <v>10957</v>
      </c>
      <c r="Y2154" t="s">
        <v>221</v>
      </c>
      <c r="Z2154" t="s">
        <v>73</v>
      </c>
      <c r="AA2154" t="str">
        <f>"14221-5989"</f>
        <v>14221-5989</v>
      </c>
      <c r="AB2154" t="s">
        <v>113</v>
      </c>
      <c r="AC2154" t="s">
        <v>75</v>
      </c>
      <c r="AD2154" t="s">
        <v>72</v>
      </c>
      <c r="AE2154" t="s">
        <v>76</v>
      </c>
      <c r="AF2154" t="s">
        <v>3974</v>
      </c>
      <c r="AG2154" t="s">
        <v>77</v>
      </c>
    </row>
    <row r="2155" spans="1:33" x14ac:dyDescent="0.25">
      <c r="A2155" t="str">
        <f>"1659514990"</f>
        <v>1659514990</v>
      </c>
      <c r="B2155" t="str">
        <f>"03596150"</f>
        <v>03596150</v>
      </c>
      <c r="C2155" t="s">
        <v>10958</v>
      </c>
      <c r="D2155" t="s">
        <v>10959</v>
      </c>
      <c r="E2155" t="s">
        <v>10960</v>
      </c>
      <c r="G2155" t="s">
        <v>10958</v>
      </c>
      <c r="H2155" t="s">
        <v>5619</v>
      </c>
      <c r="J2155" t="s">
        <v>10961</v>
      </c>
      <c r="L2155" t="s">
        <v>80</v>
      </c>
      <c r="M2155" t="s">
        <v>72</v>
      </c>
      <c r="R2155" t="s">
        <v>10960</v>
      </c>
      <c r="W2155" t="s">
        <v>10960</v>
      </c>
      <c r="X2155" t="s">
        <v>187</v>
      </c>
      <c r="Y2155" t="s">
        <v>188</v>
      </c>
      <c r="Z2155" t="s">
        <v>73</v>
      </c>
      <c r="AA2155" t="str">
        <f>"14092-1903"</f>
        <v>14092-1903</v>
      </c>
      <c r="AB2155" t="s">
        <v>74</v>
      </c>
      <c r="AC2155" t="s">
        <v>75</v>
      </c>
      <c r="AD2155" t="s">
        <v>72</v>
      </c>
      <c r="AE2155" t="s">
        <v>76</v>
      </c>
      <c r="AF2155" t="s">
        <v>3974</v>
      </c>
      <c r="AG2155" t="s">
        <v>77</v>
      </c>
    </row>
    <row r="2156" spans="1:33" x14ac:dyDescent="0.25">
      <c r="A2156" t="str">
        <f>"1720147010"</f>
        <v>1720147010</v>
      </c>
      <c r="C2156" t="s">
        <v>10962</v>
      </c>
      <c r="G2156" t="s">
        <v>10963</v>
      </c>
      <c r="H2156" t="s">
        <v>10964</v>
      </c>
      <c r="J2156" t="s">
        <v>10965</v>
      </c>
      <c r="K2156" t="s">
        <v>89</v>
      </c>
      <c r="L2156" t="s">
        <v>92</v>
      </c>
      <c r="M2156" t="s">
        <v>72</v>
      </c>
      <c r="R2156" t="s">
        <v>10966</v>
      </c>
      <c r="S2156" t="s">
        <v>10967</v>
      </c>
      <c r="T2156" t="s">
        <v>117</v>
      </c>
      <c r="U2156" t="s">
        <v>73</v>
      </c>
      <c r="V2156" t="str">
        <f>"142151529"</f>
        <v>142151529</v>
      </c>
      <c r="AC2156" t="s">
        <v>75</v>
      </c>
      <c r="AD2156" t="s">
        <v>72</v>
      </c>
      <c r="AE2156" t="s">
        <v>93</v>
      </c>
      <c r="AF2156" t="s">
        <v>4059</v>
      </c>
      <c r="AG2156" t="s">
        <v>77</v>
      </c>
    </row>
    <row r="2157" spans="1:33" x14ac:dyDescent="0.25">
      <c r="A2157" t="str">
        <f>"1164524708"</f>
        <v>1164524708</v>
      </c>
      <c r="B2157" t="str">
        <f>"01830322"</f>
        <v>01830322</v>
      </c>
      <c r="C2157" t="s">
        <v>10968</v>
      </c>
      <c r="D2157" t="s">
        <v>10969</v>
      </c>
      <c r="E2157" t="s">
        <v>10970</v>
      </c>
      <c r="G2157" t="s">
        <v>10971</v>
      </c>
      <c r="H2157" t="s">
        <v>10972</v>
      </c>
      <c r="J2157" t="s">
        <v>10973</v>
      </c>
      <c r="L2157" t="s">
        <v>80</v>
      </c>
      <c r="M2157" t="s">
        <v>72</v>
      </c>
      <c r="R2157" t="s">
        <v>10974</v>
      </c>
      <c r="W2157" t="s">
        <v>10970</v>
      </c>
      <c r="X2157" t="s">
        <v>10975</v>
      </c>
      <c r="Y2157" t="s">
        <v>247</v>
      </c>
      <c r="Z2157" t="s">
        <v>73</v>
      </c>
      <c r="AA2157" t="str">
        <f>"14225-4019"</f>
        <v>14225-4019</v>
      </c>
      <c r="AB2157" t="s">
        <v>74</v>
      </c>
      <c r="AC2157" t="s">
        <v>75</v>
      </c>
      <c r="AD2157" t="s">
        <v>72</v>
      </c>
      <c r="AE2157" t="s">
        <v>76</v>
      </c>
      <c r="AF2157" t="s">
        <v>3961</v>
      </c>
      <c r="AG2157" t="s">
        <v>77</v>
      </c>
    </row>
    <row r="2158" spans="1:33" x14ac:dyDescent="0.25">
      <c r="A2158" t="str">
        <f>"1184677056"</f>
        <v>1184677056</v>
      </c>
      <c r="B2158" t="str">
        <f>"00689538"</f>
        <v>00689538</v>
      </c>
      <c r="C2158" t="s">
        <v>10976</v>
      </c>
      <c r="D2158" t="s">
        <v>10977</v>
      </c>
      <c r="E2158" t="s">
        <v>10978</v>
      </c>
      <c r="G2158" t="s">
        <v>7548</v>
      </c>
      <c r="H2158" t="s">
        <v>7549</v>
      </c>
      <c r="J2158" t="s">
        <v>7550</v>
      </c>
      <c r="L2158" t="s">
        <v>80</v>
      </c>
      <c r="M2158" t="s">
        <v>72</v>
      </c>
      <c r="R2158" t="s">
        <v>10979</v>
      </c>
      <c r="W2158" t="s">
        <v>10978</v>
      </c>
      <c r="X2158" t="s">
        <v>7552</v>
      </c>
      <c r="Y2158" t="s">
        <v>804</v>
      </c>
      <c r="Z2158" t="s">
        <v>73</v>
      </c>
      <c r="AA2158" t="str">
        <f>"14226-4722"</f>
        <v>14226-4722</v>
      </c>
      <c r="AB2158" t="s">
        <v>74</v>
      </c>
      <c r="AC2158" t="s">
        <v>75</v>
      </c>
      <c r="AD2158" t="s">
        <v>72</v>
      </c>
      <c r="AE2158" t="s">
        <v>76</v>
      </c>
      <c r="AF2158" t="s">
        <v>3961</v>
      </c>
      <c r="AG2158" t="s">
        <v>77</v>
      </c>
    </row>
    <row r="2159" spans="1:33" x14ac:dyDescent="0.25">
      <c r="A2159" t="str">
        <f>"1801842844"</f>
        <v>1801842844</v>
      </c>
      <c r="B2159" t="str">
        <f>"02212706"</f>
        <v>02212706</v>
      </c>
      <c r="C2159" t="s">
        <v>10980</v>
      </c>
      <c r="D2159" t="s">
        <v>422</v>
      </c>
      <c r="E2159" t="s">
        <v>423</v>
      </c>
      <c r="G2159" t="s">
        <v>10980</v>
      </c>
      <c r="H2159" t="s">
        <v>10981</v>
      </c>
      <c r="J2159" t="s">
        <v>10982</v>
      </c>
      <c r="L2159" t="s">
        <v>71</v>
      </c>
      <c r="M2159" t="s">
        <v>72</v>
      </c>
      <c r="R2159" t="s">
        <v>424</v>
      </c>
      <c r="W2159" t="s">
        <v>423</v>
      </c>
      <c r="X2159" t="s">
        <v>344</v>
      </c>
      <c r="Y2159" t="s">
        <v>345</v>
      </c>
      <c r="Z2159" t="s">
        <v>73</v>
      </c>
      <c r="AA2159" t="str">
        <f>"14108-1093"</f>
        <v>14108-1093</v>
      </c>
      <c r="AB2159" t="s">
        <v>74</v>
      </c>
      <c r="AC2159" t="s">
        <v>75</v>
      </c>
      <c r="AD2159" t="s">
        <v>72</v>
      </c>
      <c r="AE2159" t="s">
        <v>76</v>
      </c>
      <c r="AF2159" t="s">
        <v>3974</v>
      </c>
      <c r="AG2159" t="s">
        <v>77</v>
      </c>
    </row>
    <row r="2160" spans="1:33" x14ac:dyDescent="0.25">
      <c r="A2160" t="str">
        <f>"1922091685"</f>
        <v>1922091685</v>
      </c>
      <c r="B2160" t="str">
        <f>"01988581"</f>
        <v>01988581</v>
      </c>
      <c r="C2160" t="s">
        <v>10983</v>
      </c>
      <c r="D2160" t="s">
        <v>10984</v>
      </c>
      <c r="E2160" t="s">
        <v>10985</v>
      </c>
      <c r="G2160" t="s">
        <v>3997</v>
      </c>
      <c r="H2160" t="s">
        <v>3998</v>
      </c>
      <c r="J2160" t="s">
        <v>3999</v>
      </c>
      <c r="L2160" t="s">
        <v>80</v>
      </c>
      <c r="M2160" t="s">
        <v>81</v>
      </c>
      <c r="R2160" t="s">
        <v>10986</v>
      </c>
      <c r="W2160" t="s">
        <v>10985</v>
      </c>
      <c r="X2160" t="s">
        <v>7084</v>
      </c>
      <c r="Y2160" t="s">
        <v>436</v>
      </c>
      <c r="Z2160" t="s">
        <v>73</v>
      </c>
      <c r="AA2160" t="str">
        <f>"14217-1339"</f>
        <v>14217-1339</v>
      </c>
      <c r="AB2160" t="s">
        <v>74</v>
      </c>
      <c r="AC2160" t="s">
        <v>75</v>
      </c>
      <c r="AD2160" t="s">
        <v>72</v>
      </c>
      <c r="AE2160" t="s">
        <v>76</v>
      </c>
      <c r="AF2160" t="s">
        <v>3961</v>
      </c>
      <c r="AG2160" t="s">
        <v>77</v>
      </c>
    </row>
    <row r="2161" spans="1:33" x14ac:dyDescent="0.25">
      <c r="A2161" t="str">
        <f>"1447469416"</f>
        <v>1447469416</v>
      </c>
      <c r="B2161" t="str">
        <f>"03110441"</f>
        <v>03110441</v>
      </c>
      <c r="C2161" t="s">
        <v>10987</v>
      </c>
      <c r="D2161" t="s">
        <v>10988</v>
      </c>
      <c r="E2161" t="s">
        <v>10989</v>
      </c>
      <c r="G2161" t="s">
        <v>4061</v>
      </c>
      <c r="H2161" t="s">
        <v>3105</v>
      </c>
      <c r="J2161" t="s">
        <v>4062</v>
      </c>
      <c r="L2161" t="s">
        <v>96</v>
      </c>
      <c r="M2161" t="s">
        <v>72</v>
      </c>
      <c r="R2161" t="s">
        <v>10990</v>
      </c>
      <c r="W2161" t="s">
        <v>10989</v>
      </c>
      <c r="X2161" t="s">
        <v>10991</v>
      </c>
      <c r="Y2161" t="s">
        <v>117</v>
      </c>
      <c r="Z2161" t="s">
        <v>73</v>
      </c>
      <c r="AA2161" t="str">
        <f>"14228-1300"</f>
        <v>14228-1300</v>
      </c>
      <c r="AB2161" t="s">
        <v>74</v>
      </c>
      <c r="AC2161" t="s">
        <v>75</v>
      </c>
      <c r="AD2161" t="s">
        <v>72</v>
      </c>
      <c r="AE2161" t="s">
        <v>76</v>
      </c>
      <c r="AF2161" t="s">
        <v>3974</v>
      </c>
      <c r="AG2161" t="s">
        <v>77</v>
      </c>
    </row>
    <row r="2162" spans="1:33" x14ac:dyDescent="0.25">
      <c r="A2162" t="str">
        <f>"1063668457"</f>
        <v>1063668457</v>
      </c>
      <c r="B2162" t="str">
        <f>"03104074"</f>
        <v>03104074</v>
      </c>
      <c r="C2162" t="s">
        <v>10992</v>
      </c>
      <c r="D2162" t="s">
        <v>10993</v>
      </c>
      <c r="E2162" t="s">
        <v>10994</v>
      </c>
      <c r="L2162" t="s">
        <v>80</v>
      </c>
      <c r="M2162" t="s">
        <v>72</v>
      </c>
      <c r="R2162" t="s">
        <v>10995</v>
      </c>
      <c r="W2162" t="s">
        <v>10994</v>
      </c>
      <c r="X2162" t="s">
        <v>1258</v>
      </c>
      <c r="Y2162" t="s">
        <v>228</v>
      </c>
      <c r="Z2162" t="s">
        <v>73</v>
      </c>
      <c r="AA2162" t="str">
        <f>"14226-1039"</f>
        <v>14226-1039</v>
      </c>
      <c r="AB2162" t="s">
        <v>74</v>
      </c>
      <c r="AC2162" t="s">
        <v>75</v>
      </c>
      <c r="AD2162" t="s">
        <v>72</v>
      </c>
      <c r="AE2162" t="s">
        <v>76</v>
      </c>
      <c r="AF2162" t="s">
        <v>3974</v>
      </c>
      <c r="AG2162" t="s">
        <v>77</v>
      </c>
    </row>
    <row r="2163" spans="1:33" x14ac:dyDescent="0.25">
      <c r="A2163" t="str">
        <f>"1801965728"</f>
        <v>1801965728</v>
      </c>
      <c r="B2163" t="str">
        <f>"00935722"</f>
        <v>00935722</v>
      </c>
      <c r="C2163" t="s">
        <v>10284</v>
      </c>
      <c r="D2163" t="s">
        <v>10996</v>
      </c>
      <c r="E2163" t="s">
        <v>10997</v>
      </c>
      <c r="G2163" t="s">
        <v>10285</v>
      </c>
      <c r="H2163" t="s">
        <v>10286</v>
      </c>
      <c r="J2163" t="s">
        <v>10287</v>
      </c>
      <c r="L2163" t="s">
        <v>92</v>
      </c>
      <c r="M2163" t="s">
        <v>72</v>
      </c>
      <c r="R2163" t="s">
        <v>10295</v>
      </c>
      <c r="W2163" t="s">
        <v>10997</v>
      </c>
      <c r="X2163" t="s">
        <v>10998</v>
      </c>
      <c r="Y2163" t="s">
        <v>365</v>
      </c>
      <c r="Z2163" t="s">
        <v>73</v>
      </c>
      <c r="AA2163" t="str">
        <f>"14150"</f>
        <v>14150</v>
      </c>
      <c r="AB2163" t="s">
        <v>98</v>
      </c>
      <c r="AC2163" t="s">
        <v>75</v>
      </c>
      <c r="AD2163" t="s">
        <v>72</v>
      </c>
      <c r="AE2163" t="s">
        <v>76</v>
      </c>
      <c r="AF2163" t="s">
        <v>4059</v>
      </c>
      <c r="AG2163" t="s">
        <v>77</v>
      </c>
    </row>
    <row r="2164" spans="1:33" x14ac:dyDescent="0.25">
      <c r="A2164" t="str">
        <f>"1013996131"</f>
        <v>1013996131</v>
      </c>
      <c r="B2164" t="str">
        <f>"01572816"</f>
        <v>01572816</v>
      </c>
      <c r="C2164" t="s">
        <v>10999</v>
      </c>
      <c r="D2164" t="s">
        <v>3759</v>
      </c>
      <c r="E2164" t="s">
        <v>3760</v>
      </c>
      <c r="G2164" t="s">
        <v>5164</v>
      </c>
      <c r="H2164" t="s">
        <v>5165</v>
      </c>
      <c r="J2164" t="s">
        <v>5166</v>
      </c>
      <c r="L2164" t="s">
        <v>79</v>
      </c>
      <c r="M2164" t="s">
        <v>72</v>
      </c>
      <c r="R2164" t="s">
        <v>3761</v>
      </c>
      <c r="W2164" t="s">
        <v>3760</v>
      </c>
      <c r="X2164" t="s">
        <v>3762</v>
      </c>
      <c r="Y2164" t="s">
        <v>117</v>
      </c>
      <c r="Z2164" t="s">
        <v>73</v>
      </c>
      <c r="AA2164" t="str">
        <f>"14206-1125"</f>
        <v>14206-1125</v>
      </c>
      <c r="AB2164" t="s">
        <v>74</v>
      </c>
      <c r="AC2164" t="s">
        <v>75</v>
      </c>
      <c r="AD2164" t="s">
        <v>72</v>
      </c>
      <c r="AE2164" t="s">
        <v>76</v>
      </c>
      <c r="AG2164" t="s">
        <v>77</v>
      </c>
    </row>
    <row r="2165" spans="1:33" x14ac:dyDescent="0.25">
      <c r="A2165" t="str">
        <f>"1568459725"</f>
        <v>1568459725</v>
      </c>
      <c r="B2165" t="str">
        <f>"00764181"</f>
        <v>00764181</v>
      </c>
      <c r="C2165" t="s">
        <v>11000</v>
      </c>
      <c r="D2165" t="s">
        <v>3874</v>
      </c>
      <c r="E2165" t="s">
        <v>3875</v>
      </c>
      <c r="G2165" t="s">
        <v>3865</v>
      </c>
      <c r="H2165" t="s">
        <v>3866</v>
      </c>
      <c r="J2165" t="s">
        <v>3867</v>
      </c>
      <c r="L2165" t="s">
        <v>15</v>
      </c>
      <c r="M2165" t="s">
        <v>81</v>
      </c>
      <c r="R2165" t="s">
        <v>3876</v>
      </c>
      <c r="W2165" t="s">
        <v>3877</v>
      </c>
      <c r="X2165" t="s">
        <v>3878</v>
      </c>
      <c r="Y2165" t="s">
        <v>1079</v>
      </c>
      <c r="Z2165" t="s">
        <v>73</v>
      </c>
      <c r="AA2165" t="str">
        <f>"14075-1900"</f>
        <v>14075-1900</v>
      </c>
      <c r="AB2165" t="s">
        <v>98</v>
      </c>
      <c r="AC2165" t="s">
        <v>75</v>
      </c>
      <c r="AD2165" t="s">
        <v>72</v>
      </c>
      <c r="AE2165" t="s">
        <v>76</v>
      </c>
      <c r="AF2165" t="s">
        <v>4078</v>
      </c>
      <c r="AG2165" t="s">
        <v>77</v>
      </c>
    </row>
    <row r="2166" spans="1:33" x14ac:dyDescent="0.25">
      <c r="A2166" t="str">
        <f>"1427078138"</f>
        <v>1427078138</v>
      </c>
      <c r="B2166" t="str">
        <f>"01406633"</f>
        <v>01406633</v>
      </c>
      <c r="C2166" t="s">
        <v>11001</v>
      </c>
      <c r="D2166" t="s">
        <v>11002</v>
      </c>
      <c r="E2166" t="s">
        <v>11003</v>
      </c>
      <c r="G2166" t="s">
        <v>3997</v>
      </c>
      <c r="H2166" t="s">
        <v>4744</v>
      </c>
      <c r="J2166" t="s">
        <v>3999</v>
      </c>
      <c r="L2166" t="s">
        <v>80</v>
      </c>
      <c r="M2166" t="s">
        <v>81</v>
      </c>
      <c r="R2166" t="s">
        <v>11004</v>
      </c>
      <c r="W2166" t="s">
        <v>11003</v>
      </c>
      <c r="X2166" t="s">
        <v>3152</v>
      </c>
      <c r="Y2166" t="s">
        <v>630</v>
      </c>
      <c r="Z2166" t="s">
        <v>73</v>
      </c>
      <c r="AA2166" t="str">
        <f>"14043-1029"</f>
        <v>14043-1029</v>
      </c>
      <c r="AB2166" t="s">
        <v>74</v>
      </c>
      <c r="AC2166" t="s">
        <v>75</v>
      </c>
      <c r="AD2166" t="s">
        <v>72</v>
      </c>
      <c r="AE2166" t="s">
        <v>76</v>
      </c>
      <c r="AF2166" t="s">
        <v>3961</v>
      </c>
      <c r="AG2166" t="s">
        <v>77</v>
      </c>
    </row>
    <row r="2167" spans="1:33" x14ac:dyDescent="0.25">
      <c r="A2167" t="str">
        <f>"1164669651"</f>
        <v>1164669651</v>
      </c>
      <c r="B2167" t="str">
        <f>"03166401"</f>
        <v>03166401</v>
      </c>
      <c r="C2167" t="s">
        <v>11005</v>
      </c>
      <c r="D2167" t="s">
        <v>11006</v>
      </c>
      <c r="E2167" t="s">
        <v>11007</v>
      </c>
      <c r="G2167" t="s">
        <v>3997</v>
      </c>
      <c r="H2167" t="s">
        <v>3998</v>
      </c>
      <c r="J2167" t="s">
        <v>3999</v>
      </c>
      <c r="L2167" t="s">
        <v>80</v>
      </c>
      <c r="M2167" t="s">
        <v>72</v>
      </c>
      <c r="R2167" t="s">
        <v>11008</v>
      </c>
      <c r="W2167" t="s">
        <v>11007</v>
      </c>
      <c r="X2167" t="s">
        <v>4001</v>
      </c>
      <c r="Y2167" t="s">
        <v>365</v>
      </c>
      <c r="Z2167" t="s">
        <v>73</v>
      </c>
      <c r="AA2167" t="str">
        <f>"14150-6618"</f>
        <v>14150-6618</v>
      </c>
      <c r="AB2167" t="s">
        <v>74</v>
      </c>
      <c r="AC2167" t="s">
        <v>75</v>
      </c>
      <c r="AD2167" t="s">
        <v>72</v>
      </c>
      <c r="AE2167" t="s">
        <v>76</v>
      </c>
      <c r="AF2167" t="s">
        <v>3961</v>
      </c>
      <c r="AG2167" t="s">
        <v>77</v>
      </c>
    </row>
    <row r="2168" spans="1:33" x14ac:dyDescent="0.25">
      <c r="A2168" t="str">
        <f>"1245352921"</f>
        <v>1245352921</v>
      </c>
      <c r="B2168" t="str">
        <f>"01101413"</f>
        <v>01101413</v>
      </c>
      <c r="C2168" t="s">
        <v>313</v>
      </c>
      <c r="D2168" t="s">
        <v>314</v>
      </c>
      <c r="E2168" t="s">
        <v>313</v>
      </c>
      <c r="L2168" t="s">
        <v>95</v>
      </c>
      <c r="M2168" t="s">
        <v>72</v>
      </c>
      <c r="R2168" t="s">
        <v>315</v>
      </c>
      <c r="W2168" t="s">
        <v>313</v>
      </c>
      <c r="X2168" t="s">
        <v>316</v>
      </c>
      <c r="Y2168" t="s">
        <v>317</v>
      </c>
      <c r="Z2168" t="s">
        <v>73</v>
      </c>
      <c r="AA2168" t="str">
        <f>"14218-1435"</f>
        <v>14218-1435</v>
      </c>
      <c r="AB2168" t="s">
        <v>109</v>
      </c>
      <c r="AC2168" t="s">
        <v>75</v>
      </c>
      <c r="AD2168" t="s">
        <v>72</v>
      </c>
      <c r="AE2168" t="s">
        <v>76</v>
      </c>
      <c r="AF2168" t="s">
        <v>4879</v>
      </c>
      <c r="AG2168" t="s">
        <v>77</v>
      </c>
    </row>
    <row r="2169" spans="1:33" x14ac:dyDescent="0.25">
      <c r="A2169" t="str">
        <f>"1669695391"</f>
        <v>1669695391</v>
      </c>
      <c r="B2169" t="str">
        <f>"03007009"</f>
        <v>03007009</v>
      </c>
      <c r="C2169" t="s">
        <v>463</v>
      </c>
      <c r="D2169" t="s">
        <v>314</v>
      </c>
      <c r="E2169" t="s">
        <v>313</v>
      </c>
      <c r="G2169" t="s">
        <v>5517</v>
      </c>
      <c r="H2169" t="s">
        <v>837</v>
      </c>
      <c r="J2169" t="s">
        <v>3684</v>
      </c>
      <c r="L2169" t="s">
        <v>95</v>
      </c>
      <c r="M2169" t="s">
        <v>72</v>
      </c>
      <c r="R2169" t="s">
        <v>315</v>
      </c>
      <c r="W2169" t="s">
        <v>313</v>
      </c>
      <c r="X2169" t="s">
        <v>468</v>
      </c>
      <c r="Y2169" t="s">
        <v>317</v>
      </c>
      <c r="Z2169" t="s">
        <v>73</v>
      </c>
      <c r="AA2169" t="str">
        <f>"14218-1435"</f>
        <v>14218-1435</v>
      </c>
      <c r="AB2169" t="s">
        <v>109</v>
      </c>
      <c r="AC2169" t="s">
        <v>75</v>
      </c>
      <c r="AD2169" t="s">
        <v>72</v>
      </c>
      <c r="AE2169" t="s">
        <v>76</v>
      </c>
      <c r="AF2169" t="s">
        <v>4879</v>
      </c>
      <c r="AG2169" t="s">
        <v>77</v>
      </c>
    </row>
    <row r="2170" spans="1:33" x14ac:dyDescent="0.25">
      <c r="A2170" t="str">
        <f>"1023229192"</f>
        <v>1023229192</v>
      </c>
      <c r="B2170" t="str">
        <f>"01129955"</f>
        <v>01129955</v>
      </c>
      <c r="C2170" t="s">
        <v>463</v>
      </c>
      <c r="D2170" t="s">
        <v>1930</v>
      </c>
      <c r="E2170" t="s">
        <v>1171</v>
      </c>
      <c r="G2170" t="s">
        <v>5517</v>
      </c>
      <c r="H2170" t="s">
        <v>837</v>
      </c>
      <c r="J2170" t="s">
        <v>3684</v>
      </c>
      <c r="L2170" t="s">
        <v>35</v>
      </c>
      <c r="M2170" t="s">
        <v>72</v>
      </c>
      <c r="R2170" t="s">
        <v>315</v>
      </c>
      <c r="W2170" t="s">
        <v>1171</v>
      </c>
      <c r="X2170" t="s">
        <v>1931</v>
      </c>
      <c r="Y2170" t="s">
        <v>317</v>
      </c>
      <c r="Z2170" t="s">
        <v>73</v>
      </c>
      <c r="AA2170" t="str">
        <f>"14218-2708"</f>
        <v>14218-2708</v>
      </c>
      <c r="AB2170" t="s">
        <v>98</v>
      </c>
      <c r="AC2170" t="s">
        <v>75</v>
      </c>
      <c r="AD2170" t="s">
        <v>72</v>
      </c>
      <c r="AE2170" t="s">
        <v>76</v>
      </c>
      <c r="AF2170" t="s">
        <v>4879</v>
      </c>
      <c r="AG2170" t="s">
        <v>77</v>
      </c>
    </row>
    <row r="2171" spans="1:33" x14ac:dyDescent="0.25">
      <c r="A2171" t="str">
        <f>"1588819791"</f>
        <v>1588819791</v>
      </c>
      <c r="B2171" t="str">
        <f>"03079912"</f>
        <v>03079912</v>
      </c>
      <c r="C2171" t="s">
        <v>1165</v>
      </c>
      <c r="D2171" t="s">
        <v>1166</v>
      </c>
      <c r="E2171" t="s">
        <v>1167</v>
      </c>
      <c r="F2171">
        <v>166002556</v>
      </c>
      <c r="G2171" t="s">
        <v>11009</v>
      </c>
      <c r="H2171" t="s">
        <v>11010</v>
      </c>
      <c r="J2171" t="s">
        <v>11011</v>
      </c>
      <c r="L2171" t="s">
        <v>92</v>
      </c>
      <c r="M2171" t="s">
        <v>81</v>
      </c>
      <c r="R2171" t="s">
        <v>1165</v>
      </c>
      <c r="W2171" t="s">
        <v>1167</v>
      </c>
      <c r="X2171" t="s">
        <v>1168</v>
      </c>
      <c r="Y2171" t="s">
        <v>408</v>
      </c>
      <c r="Z2171" t="s">
        <v>73</v>
      </c>
      <c r="AA2171" t="str">
        <f>"14757-1090"</f>
        <v>14757-1090</v>
      </c>
      <c r="AB2171" t="s">
        <v>109</v>
      </c>
      <c r="AC2171" t="s">
        <v>75</v>
      </c>
      <c r="AD2171" t="s">
        <v>72</v>
      </c>
      <c r="AE2171" t="s">
        <v>76</v>
      </c>
      <c r="AF2171" t="s">
        <v>4078</v>
      </c>
      <c r="AG2171" t="s">
        <v>77</v>
      </c>
    </row>
    <row r="2172" spans="1:33" x14ac:dyDescent="0.25">
      <c r="A2172" t="str">
        <f>"1477652113"</f>
        <v>1477652113</v>
      </c>
      <c r="B2172" t="str">
        <f>"01078477"</f>
        <v>01078477</v>
      </c>
      <c r="C2172" t="s">
        <v>994</v>
      </c>
      <c r="D2172" t="s">
        <v>995</v>
      </c>
      <c r="E2172" t="s">
        <v>996</v>
      </c>
      <c r="G2172" t="s">
        <v>11012</v>
      </c>
      <c r="H2172" t="s">
        <v>997</v>
      </c>
      <c r="J2172" t="s">
        <v>11013</v>
      </c>
      <c r="L2172" t="s">
        <v>17</v>
      </c>
      <c r="M2172" t="s">
        <v>72</v>
      </c>
      <c r="R2172" t="s">
        <v>994</v>
      </c>
      <c r="W2172" t="s">
        <v>996</v>
      </c>
      <c r="X2172" t="s">
        <v>998</v>
      </c>
      <c r="Y2172" t="s">
        <v>240</v>
      </c>
      <c r="Z2172" t="s">
        <v>73</v>
      </c>
      <c r="AA2172" t="str">
        <f>"14094-1231"</f>
        <v>14094-1231</v>
      </c>
      <c r="AB2172" t="s">
        <v>109</v>
      </c>
      <c r="AC2172" t="s">
        <v>75</v>
      </c>
      <c r="AD2172" t="s">
        <v>72</v>
      </c>
      <c r="AE2172" t="s">
        <v>76</v>
      </c>
      <c r="AF2172" t="s">
        <v>10435</v>
      </c>
      <c r="AG2172" t="s">
        <v>77</v>
      </c>
    </row>
    <row r="2173" spans="1:33" x14ac:dyDescent="0.25">
      <c r="A2173" t="str">
        <f>"1235116286"</f>
        <v>1235116286</v>
      </c>
      <c r="B2173" t="str">
        <f>"00314618"</f>
        <v>00314618</v>
      </c>
      <c r="C2173" t="s">
        <v>1617</v>
      </c>
      <c r="D2173" t="s">
        <v>3727</v>
      </c>
      <c r="E2173" t="s">
        <v>3728</v>
      </c>
      <c r="G2173" t="s">
        <v>11014</v>
      </c>
      <c r="H2173" t="s">
        <v>9813</v>
      </c>
      <c r="J2173" t="s">
        <v>9814</v>
      </c>
      <c r="L2173" t="s">
        <v>97</v>
      </c>
      <c r="M2173" t="s">
        <v>81</v>
      </c>
      <c r="R2173" t="s">
        <v>1617</v>
      </c>
      <c r="W2173" t="s">
        <v>3728</v>
      </c>
      <c r="X2173" t="s">
        <v>3683</v>
      </c>
      <c r="Y2173" t="s">
        <v>242</v>
      </c>
      <c r="Z2173" t="s">
        <v>73</v>
      </c>
      <c r="AA2173" t="str">
        <f>"14701-1935"</f>
        <v>14701-1935</v>
      </c>
      <c r="AB2173" t="s">
        <v>98</v>
      </c>
      <c r="AC2173" t="s">
        <v>75</v>
      </c>
      <c r="AD2173" t="s">
        <v>72</v>
      </c>
      <c r="AE2173" t="s">
        <v>76</v>
      </c>
      <c r="AF2173" t="s">
        <v>4078</v>
      </c>
      <c r="AG2173" t="s">
        <v>77</v>
      </c>
    </row>
    <row r="2174" spans="1:33" x14ac:dyDescent="0.25">
      <c r="A2174" t="str">
        <f>"1477857209"</f>
        <v>1477857209</v>
      </c>
      <c r="B2174" t="str">
        <f>"03306741"</f>
        <v>03306741</v>
      </c>
      <c r="C2174" t="s">
        <v>1617</v>
      </c>
      <c r="D2174" t="s">
        <v>1618</v>
      </c>
      <c r="E2174" t="s">
        <v>1619</v>
      </c>
      <c r="G2174" t="s">
        <v>11014</v>
      </c>
      <c r="H2174" t="s">
        <v>9813</v>
      </c>
      <c r="J2174" t="s">
        <v>9814</v>
      </c>
      <c r="L2174" t="s">
        <v>35</v>
      </c>
      <c r="M2174" t="s">
        <v>72</v>
      </c>
      <c r="R2174" t="s">
        <v>1617</v>
      </c>
      <c r="W2174" t="s">
        <v>1619</v>
      </c>
      <c r="X2174" t="s">
        <v>1620</v>
      </c>
      <c r="Y2174" t="s">
        <v>242</v>
      </c>
      <c r="Z2174" t="s">
        <v>73</v>
      </c>
      <c r="AA2174" t="str">
        <f>"14701-1801"</f>
        <v>14701-1801</v>
      </c>
      <c r="AB2174" t="s">
        <v>98</v>
      </c>
      <c r="AC2174" t="s">
        <v>75</v>
      </c>
      <c r="AD2174" t="s">
        <v>72</v>
      </c>
      <c r="AE2174" t="s">
        <v>76</v>
      </c>
      <c r="AF2174" t="s">
        <v>4078</v>
      </c>
      <c r="AG2174" t="s">
        <v>77</v>
      </c>
    </row>
    <row r="2175" spans="1:33" x14ac:dyDescent="0.25">
      <c r="C2175" t="s">
        <v>11015</v>
      </c>
      <c r="G2175" t="s">
        <v>11016</v>
      </c>
      <c r="H2175" t="s">
        <v>11017</v>
      </c>
      <c r="J2175" t="s">
        <v>11018</v>
      </c>
      <c r="K2175" t="s">
        <v>102</v>
      </c>
      <c r="L2175" t="s">
        <v>90</v>
      </c>
      <c r="M2175" t="s">
        <v>72</v>
      </c>
      <c r="N2175" t="s">
        <v>11019</v>
      </c>
      <c r="O2175" t="s">
        <v>1101</v>
      </c>
      <c r="P2175" t="s">
        <v>73</v>
      </c>
      <c r="Q2175" t="str">
        <f>"14203"</f>
        <v>14203</v>
      </c>
      <c r="AC2175" t="s">
        <v>75</v>
      </c>
      <c r="AD2175" t="s">
        <v>72</v>
      </c>
      <c r="AE2175" t="s">
        <v>91</v>
      </c>
      <c r="AF2175" t="s">
        <v>4059</v>
      </c>
      <c r="AG2175" t="s">
        <v>77</v>
      </c>
    </row>
    <row r="2176" spans="1:33" x14ac:dyDescent="0.25">
      <c r="C2176" t="s">
        <v>11020</v>
      </c>
      <c r="G2176" t="s">
        <v>11021</v>
      </c>
      <c r="H2176" t="s">
        <v>11022</v>
      </c>
      <c r="J2176" t="s">
        <v>11023</v>
      </c>
      <c r="K2176" t="s">
        <v>102</v>
      </c>
      <c r="L2176" t="s">
        <v>90</v>
      </c>
      <c r="M2176" t="s">
        <v>72</v>
      </c>
      <c r="N2176" t="s">
        <v>11024</v>
      </c>
      <c r="O2176" t="s">
        <v>3330</v>
      </c>
      <c r="P2176" t="s">
        <v>73</v>
      </c>
      <c r="Q2176" t="str">
        <f>"14224"</f>
        <v>14224</v>
      </c>
      <c r="AC2176" t="s">
        <v>75</v>
      </c>
      <c r="AD2176" t="s">
        <v>72</v>
      </c>
      <c r="AE2176" t="s">
        <v>91</v>
      </c>
      <c r="AF2176" t="s">
        <v>4059</v>
      </c>
      <c r="AG2176" t="s">
        <v>77</v>
      </c>
    </row>
    <row r="2177" spans="1:33" x14ac:dyDescent="0.25">
      <c r="C2177" t="s">
        <v>11025</v>
      </c>
      <c r="G2177" t="s">
        <v>11012</v>
      </c>
      <c r="H2177" t="s">
        <v>997</v>
      </c>
      <c r="J2177" t="s">
        <v>11013</v>
      </c>
      <c r="K2177" t="s">
        <v>102</v>
      </c>
      <c r="L2177" t="s">
        <v>90</v>
      </c>
      <c r="M2177" t="s">
        <v>72</v>
      </c>
      <c r="N2177" t="s">
        <v>11026</v>
      </c>
      <c r="O2177" t="s">
        <v>401</v>
      </c>
      <c r="P2177" t="s">
        <v>73</v>
      </c>
      <c r="Q2177" t="str">
        <f>"14094"</f>
        <v>14094</v>
      </c>
      <c r="AC2177" t="s">
        <v>75</v>
      </c>
      <c r="AD2177" t="s">
        <v>72</v>
      </c>
      <c r="AE2177" t="s">
        <v>91</v>
      </c>
      <c r="AF2177" t="s">
        <v>4078</v>
      </c>
      <c r="AG2177" t="s">
        <v>77</v>
      </c>
    </row>
    <row r="2178" spans="1:33" x14ac:dyDescent="0.25">
      <c r="C2178" t="s">
        <v>11027</v>
      </c>
      <c r="G2178" t="s">
        <v>11012</v>
      </c>
      <c r="H2178" t="s">
        <v>997</v>
      </c>
      <c r="J2178" t="s">
        <v>11013</v>
      </c>
      <c r="K2178" t="s">
        <v>102</v>
      </c>
      <c r="L2178" t="s">
        <v>90</v>
      </c>
      <c r="M2178" t="s">
        <v>72</v>
      </c>
      <c r="N2178" t="s">
        <v>11028</v>
      </c>
      <c r="O2178" t="s">
        <v>3331</v>
      </c>
      <c r="P2178" t="s">
        <v>73</v>
      </c>
      <c r="Q2178" t="str">
        <f>"14304"</f>
        <v>14304</v>
      </c>
      <c r="AC2178" t="s">
        <v>75</v>
      </c>
      <c r="AD2178" t="s">
        <v>72</v>
      </c>
      <c r="AE2178" t="s">
        <v>91</v>
      </c>
      <c r="AF2178" t="s">
        <v>4078</v>
      </c>
      <c r="AG2178" t="s">
        <v>77</v>
      </c>
    </row>
    <row r="2179" spans="1:33" x14ac:dyDescent="0.25">
      <c r="A2179" t="str">
        <f>"1639145675"</f>
        <v>1639145675</v>
      </c>
      <c r="B2179" t="str">
        <f>"01453185"</f>
        <v>01453185</v>
      </c>
      <c r="C2179" t="s">
        <v>11029</v>
      </c>
      <c r="D2179" t="s">
        <v>11030</v>
      </c>
      <c r="E2179" t="s">
        <v>11031</v>
      </c>
      <c r="G2179" t="s">
        <v>11032</v>
      </c>
      <c r="H2179" t="s">
        <v>877</v>
      </c>
      <c r="J2179" t="s">
        <v>11033</v>
      </c>
      <c r="L2179" t="s">
        <v>80</v>
      </c>
      <c r="M2179" t="s">
        <v>72</v>
      </c>
      <c r="R2179" t="s">
        <v>11029</v>
      </c>
      <c r="W2179" t="s">
        <v>11034</v>
      </c>
      <c r="X2179" t="s">
        <v>250</v>
      </c>
      <c r="Y2179" t="s">
        <v>217</v>
      </c>
      <c r="Z2179" t="s">
        <v>73</v>
      </c>
      <c r="AA2179" t="str">
        <f>"14760-1513"</f>
        <v>14760-1513</v>
      </c>
      <c r="AB2179" t="s">
        <v>74</v>
      </c>
      <c r="AC2179" t="s">
        <v>75</v>
      </c>
      <c r="AD2179" t="s">
        <v>72</v>
      </c>
      <c r="AE2179" t="s">
        <v>76</v>
      </c>
      <c r="AG2179" t="s">
        <v>77</v>
      </c>
    </row>
    <row r="2180" spans="1:33" x14ac:dyDescent="0.25">
      <c r="A2180" t="str">
        <f>"1184981391"</f>
        <v>1184981391</v>
      </c>
      <c r="B2180" t="str">
        <f>"04445507"</f>
        <v>04445507</v>
      </c>
      <c r="C2180" t="s">
        <v>11035</v>
      </c>
      <c r="D2180" t="s">
        <v>11036</v>
      </c>
      <c r="E2180" t="s">
        <v>11037</v>
      </c>
      <c r="G2180" t="s">
        <v>11032</v>
      </c>
      <c r="H2180" t="s">
        <v>877</v>
      </c>
      <c r="J2180" t="s">
        <v>11038</v>
      </c>
      <c r="L2180" t="s">
        <v>71</v>
      </c>
      <c r="M2180" t="s">
        <v>72</v>
      </c>
      <c r="R2180" t="s">
        <v>11035</v>
      </c>
      <c r="W2180" t="s">
        <v>11035</v>
      </c>
      <c r="AB2180" t="s">
        <v>74</v>
      </c>
      <c r="AC2180" t="s">
        <v>75</v>
      </c>
      <c r="AD2180" t="s">
        <v>72</v>
      </c>
      <c r="AE2180" t="s">
        <v>76</v>
      </c>
      <c r="AG2180" t="s">
        <v>77</v>
      </c>
    </row>
    <row r="2181" spans="1:33" x14ac:dyDescent="0.25">
      <c r="A2181" t="str">
        <f>"1225372691"</f>
        <v>1225372691</v>
      </c>
      <c r="B2181" t="str">
        <f>"04327900"</f>
        <v>04327900</v>
      </c>
      <c r="C2181" t="s">
        <v>11039</v>
      </c>
      <c r="D2181" t="s">
        <v>11040</v>
      </c>
      <c r="E2181" t="s">
        <v>11041</v>
      </c>
      <c r="G2181" t="s">
        <v>11032</v>
      </c>
      <c r="H2181" t="s">
        <v>877</v>
      </c>
      <c r="J2181" t="s">
        <v>11042</v>
      </c>
      <c r="L2181" t="s">
        <v>80</v>
      </c>
      <c r="M2181" t="s">
        <v>72</v>
      </c>
      <c r="R2181" t="s">
        <v>11039</v>
      </c>
      <c r="W2181" t="s">
        <v>11041</v>
      </c>
      <c r="X2181" t="s">
        <v>880</v>
      </c>
      <c r="Y2181" t="s">
        <v>817</v>
      </c>
      <c r="Z2181" t="s">
        <v>73</v>
      </c>
      <c r="AA2181" t="str">
        <f>"14063-1769"</f>
        <v>14063-1769</v>
      </c>
      <c r="AB2181" t="s">
        <v>74</v>
      </c>
      <c r="AC2181" t="s">
        <v>75</v>
      </c>
      <c r="AD2181" t="s">
        <v>72</v>
      </c>
      <c r="AE2181" t="s">
        <v>76</v>
      </c>
      <c r="AG2181" t="s">
        <v>77</v>
      </c>
    </row>
    <row r="2182" spans="1:33" x14ac:dyDescent="0.25">
      <c r="A2182" t="str">
        <f>"1316195696"</f>
        <v>1316195696</v>
      </c>
      <c r="B2182" t="str">
        <f>"03823907"</f>
        <v>03823907</v>
      </c>
      <c r="C2182" t="s">
        <v>2629</v>
      </c>
      <c r="D2182" t="s">
        <v>2627</v>
      </c>
      <c r="E2182" t="s">
        <v>2628</v>
      </c>
      <c r="G2182" t="s">
        <v>11043</v>
      </c>
      <c r="H2182" t="s">
        <v>1266</v>
      </c>
      <c r="J2182" t="s">
        <v>11044</v>
      </c>
      <c r="L2182" t="s">
        <v>80</v>
      </c>
      <c r="M2182" t="s">
        <v>72</v>
      </c>
      <c r="R2182" t="s">
        <v>2629</v>
      </c>
      <c r="W2182" t="s">
        <v>2628</v>
      </c>
      <c r="X2182" t="s">
        <v>1546</v>
      </c>
      <c r="Y2182" t="s">
        <v>1130</v>
      </c>
      <c r="Z2182" t="s">
        <v>73</v>
      </c>
      <c r="AA2182" t="str">
        <f>"14136-1452"</f>
        <v>14136-1452</v>
      </c>
      <c r="AB2182" t="s">
        <v>74</v>
      </c>
      <c r="AC2182" t="s">
        <v>75</v>
      </c>
      <c r="AD2182" t="s">
        <v>72</v>
      </c>
      <c r="AE2182" t="s">
        <v>76</v>
      </c>
      <c r="AF2182" t="s">
        <v>4049</v>
      </c>
      <c r="AG2182" t="s">
        <v>77</v>
      </c>
    </row>
    <row r="2183" spans="1:33" x14ac:dyDescent="0.25">
      <c r="A2183" t="str">
        <f>"1043286602"</f>
        <v>1043286602</v>
      </c>
      <c r="B2183" t="str">
        <f>"02227269"</f>
        <v>02227269</v>
      </c>
      <c r="C2183" t="s">
        <v>3088</v>
      </c>
      <c r="D2183" t="s">
        <v>3086</v>
      </c>
      <c r="E2183" t="s">
        <v>3087</v>
      </c>
      <c r="G2183" t="s">
        <v>11045</v>
      </c>
      <c r="H2183" t="s">
        <v>877</v>
      </c>
      <c r="J2183" t="s">
        <v>11046</v>
      </c>
      <c r="L2183" t="s">
        <v>71</v>
      </c>
      <c r="M2183" t="s">
        <v>72</v>
      </c>
      <c r="R2183" t="s">
        <v>3088</v>
      </c>
      <c r="W2183" t="s">
        <v>3089</v>
      </c>
      <c r="X2183" t="s">
        <v>169</v>
      </c>
      <c r="Y2183" t="s">
        <v>117</v>
      </c>
      <c r="Z2183" t="s">
        <v>73</v>
      </c>
      <c r="AA2183" t="str">
        <f>"14209-1120"</f>
        <v>14209-1120</v>
      </c>
      <c r="AB2183" t="s">
        <v>74</v>
      </c>
      <c r="AC2183" t="s">
        <v>75</v>
      </c>
      <c r="AD2183" t="s">
        <v>72</v>
      </c>
      <c r="AE2183" t="s">
        <v>76</v>
      </c>
      <c r="AF2183" t="s">
        <v>4049</v>
      </c>
      <c r="AG2183" t="s">
        <v>77</v>
      </c>
    </row>
    <row r="2184" spans="1:33" x14ac:dyDescent="0.25">
      <c r="A2184" t="str">
        <f>"1134535974"</f>
        <v>1134535974</v>
      </c>
      <c r="B2184" t="str">
        <f>"03942909"</f>
        <v>03942909</v>
      </c>
      <c r="C2184" t="s">
        <v>11047</v>
      </c>
      <c r="D2184" t="s">
        <v>11048</v>
      </c>
      <c r="E2184" t="s">
        <v>11049</v>
      </c>
      <c r="G2184" t="s">
        <v>11032</v>
      </c>
      <c r="H2184" t="s">
        <v>877</v>
      </c>
      <c r="J2184" t="s">
        <v>11038</v>
      </c>
      <c r="L2184" t="s">
        <v>79</v>
      </c>
      <c r="M2184" t="s">
        <v>72</v>
      </c>
      <c r="R2184" t="s">
        <v>11047</v>
      </c>
      <c r="W2184" t="s">
        <v>11049</v>
      </c>
      <c r="X2184" t="s">
        <v>880</v>
      </c>
      <c r="Y2184" t="s">
        <v>817</v>
      </c>
      <c r="Z2184" t="s">
        <v>73</v>
      </c>
      <c r="AA2184" t="str">
        <f>"14063-1769"</f>
        <v>14063-1769</v>
      </c>
      <c r="AB2184" t="s">
        <v>74</v>
      </c>
      <c r="AC2184" t="s">
        <v>75</v>
      </c>
      <c r="AD2184" t="s">
        <v>72</v>
      </c>
      <c r="AE2184" t="s">
        <v>76</v>
      </c>
      <c r="AG2184" t="s">
        <v>77</v>
      </c>
    </row>
    <row r="2185" spans="1:33" x14ac:dyDescent="0.25">
      <c r="A2185" t="str">
        <f>"1033520580"</f>
        <v>1033520580</v>
      </c>
      <c r="B2185" t="str">
        <f>"03991004"</f>
        <v>03991004</v>
      </c>
      <c r="C2185" t="s">
        <v>11050</v>
      </c>
      <c r="D2185" t="s">
        <v>11051</v>
      </c>
      <c r="E2185" t="s">
        <v>11052</v>
      </c>
      <c r="G2185" t="s">
        <v>11053</v>
      </c>
      <c r="H2185" t="s">
        <v>1566</v>
      </c>
      <c r="J2185" t="s">
        <v>11054</v>
      </c>
      <c r="L2185" t="s">
        <v>79</v>
      </c>
      <c r="M2185" t="s">
        <v>72</v>
      </c>
      <c r="R2185" t="s">
        <v>11050</v>
      </c>
      <c r="W2185" t="s">
        <v>11052</v>
      </c>
      <c r="X2185" t="s">
        <v>1782</v>
      </c>
      <c r="Y2185" t="s">
        <v>206</v>
      </c>
      <c r="Z2185" t="s">
        <v>73</v>
      </c>
      <c r="AA2185" t="str">
        <f>"14048-2515"</f>
        <v>14048-2515</v>
      </c>
      <c r="AB2185" t="s">
        <v>74</v>
      </c>
      <c r="AC2185" t="s">
        <v>75</v>
      </c>
      <c r="AD2185" t="s">
        <v>72</v>
      </c>
      <c r="AE2185" t="s">
        <v>76</v>
      </c>
      <c r="AG2185" t="s">
        <v>77</v>
      </c>
    </row>
    <row r="2186" spans="1:33" x14ac:dyDescent="0.25">
      <c r="A2186" t="str">
        <f>"1235476219"</f>
        <v>1235476219</v>
      </c>
      <c r="B2186" t="str">
        <f>"03571928"</f>
        <v>03571928</v>
      </c>
      <c r="C2186" t="s">
        <v>11055</v>
      </c>
      <c r="D2186" t="s">
        <v>11056</v>
      </c>
      <c r="E2186" t="s">
        <v>11057</v>
      </c>
      <c r="G2186" t="s">
        <v>11043</v>
      </c>
      <c r="H2186" t="s">
        <v>1266</v>
      </c>
      <c r="J2186" t="s">
        <v>11058</v>
      </c>
      <c r="L2186" t="s">
        <v>79</v>
      </c>
      <c r="M2186" t="s">
        <v>72</v>
      </c>
      <c r="R2186" t="s">
        <v>11055</v>
      </c>
      <c r="W2186" t="s">
        <v>11057</v>
      </c>
      <c r="X2186" t="s">
        <v>918</v>
      </c>
      <c r="Y2186" t="s">
        <v>228</v>
      </c>
      <c r="Z2186" t="s">
        <v>73</v>
      </c>
      <c r="AA2186" t="str">
        <f>"14226-1726"</f>
        <v>14226-1726</v>
      </c>
      <c r="AB2186" t="s">
        <v>74</v>
      </c>
      <c r="AC2186" t="s">
        <v>75</v>
      </c>
      <c r="AD2186" t="s">
        <v>72</v>
      </c>
      <c r="AE2186" t="s">
        <v>76</v>
      </c>
      <c r="AF2186" t="s">
        <v>4043</v>
      </c>
      <c r="AG2186" t="s">
        <v>77</v>
      </c>
    </row>
    <row r="2187" spans="1:33" x14ac:dyDescent="0.25">
      <c r="A2187" t="str">
        <f>"1396811949"</f>
        <v>1396811949</v>
      </c>
      <c r="B2187" t="str">
        <f>"02901586"</f>
        <v>02901586</v>
      </c>
      <c r="C2187" t="s">
        <v>11059</v>
      </c>
      <c r="D2187" t="s">
        <v>11060</v>
      </c>
      <c r="E2187" t="s">
        <v>11061</v>
      </c>
      <c r="G2187" t="s">
        <v>11045</v>
      </c>
      <c r="H2187" t="s">
        <v>877</v>
      </c>
      <c r="J2187" t="s">
        <v>11062</v>
      </c>
      <c r="L2187" t="s">
        <v>71</v>
      </c>
      <c r="M2187" t="s">
        <v>72</v>
      </c>
      <c r="R2187" t="s">
        <v>11059</v>
      </c>
      <c r="W2187" t="s">
        <v>11061</v>
      </c>
      <c r="X2187" t="s">
        <v>1107</v>
      </c>
      <c r="Y2187" t="s">
        <v>221</v>
      </c>
      <c r="Z2187" t="s">
        <v>73</v>
      </c>
      <c r="AA2187" t="str">
        <f>"14221-2644"</f>
        <v>14221-2644</v>
      </c>
      <c r="AB2187" t="s">
        <v>74</v>
      </c>
      <c r="AC2187" t="s">
        <v>75</v>
      </c>
      <c r="AD2187" t="s">
        <v>72</v>
      </c>
      <c r="AE2187" t="s">
        <v>76</v>
      </c>
      <c r="AG2187" t="s">
        <v>77</v>
      </c>
    </row>
    <row r="2188" spans="1:33" x14ac:dyDescent="0.25">
      <c r="A2188" t="str">
        <f>"1649622432"</f>
        <v>1649622432</v>
      </c>
      <c r="B2188" t="str">
        <f>"04506929"</f>
        <v>04506929</v>
      </c>
      <c r="C2188" t="s">
        <v>11063</v>
      </c>
      <c r="D2188" t="s">
        <v>11064</v>
      </c>
      <c r="E2188" t="s">
        <v>11065</v>
      </c>
      <c r="G2188" t="s">
        <v>11043</v>
      </c>
      <c r="H2188" t="s">
        <v>1266</v>
      </c>
      <c r="J2188" t="s">
        <v>11066</v>
      </c>
      <c r="L2188" t="s">
        <v>92</v>
      </c>
      <c r="M2188" t="s">
        <v>72</v>
      </c>
      <c r="R2188" t="s">
        <v>11063</v>
      </c>
      <c r="W2188" t="s">
        <v>11065</v>
      </c>
      <c r="AB2188" t="s">
        <v>74</v>
      </c>
      <c r="AC2188" t="s">
        <v>75</v>
      </c>
      <c r="AD2188" t="s">
        <v>72</v>
      </c>
      <c r="AE2188" t="s">
        <v>76</v>
      </c>
      <c r="AG2188" t="s">
        <v>77</v>
      </c>
    </row>
    <row r="2189" spans="1:33" x14ac:dyDescent="0.25">
      <c r="C2189" t="s">
        <v>11067</v>
      </c>
      <c r="G2189" t="s">
        <v>11068</v>
      </c>
      <c r="H2189" t="s">
        <v>11069</v>
      </c>
      <c r="J2189" t="s">
        <v>11070</v>
      </c>
      <c r="K2189" t="s">
        <v>230</v>
      </c>
      <c r="L2189" t="s">
        <v>90</v>
      </c>
      <c r="M2189" t="s">
        <v>72</v>
      </c>
      <c r="N2189" t="s">
        <v>11071</v>
      </c>
      <c r="O2189" t="s">
        <v>425</v>
      </c>
      <c r="P2189" t="s">
        <v>73</v>
      </c>
      <c r="Q2189" t="str">
        <f>"14020-____"</f>
        <v>14020-____</v>
      </c>
      <c r="AC2189" t="s">
        <v>75</v>
      </c>
      <c r="AD2189" t="s">
        <v>72</v>
      </c>
      <c r="AE2189" t="s">
        <v>91</v>
      </c>
      <c r="AG2189" t="s">
        <v>77</v>
      </c>
    </row>
    <row r="2190" spans="1:33" x14ac:dyDescent="0.25">
      <c r="C2190" t="s">
        <v>11072</v>
      </c>
      <c r="G2190" t="s">
        <v>11073</v>
      </c>
      <c r="H2190" t="s">
        <v>3612</v>
      </c>
      <c r="J2190" t="s">
        <v>11074</v>
      </c>
      <c r="K2190" t="s">
        <v>230</v>
      </c>
      <c r="L2190" t="s">
        <v>90</v>
      </c>
      <c r="M2190" t="s">
        <v>72</v>
      </c>
      <c r="N2190" t="s">
        <v>11075</v>
      </c>
      <c r="O2190" t="s">
        <v>3611</v>
      </c>
      <c r="P2190" t="s">
        <v>73</v>
      </c>
      <c r="Q2190" t="str">
        <f>"14757-____"</f>
        <v>14757-____</v>
      </c>
      <c r="AC2190" t="s">
        <v>75</v>
      </c>
      <c r="AD2190" t="s">
        <v>72</v>
      </c>
      <c r="AE2190" t="s">
        <v>91</v>
      </c>
      <c r="AG2190" t="s">
        <v>77</v>
      </c>
    </row>
    <row r="2191" spans="1:33" x14ac:dyDescent="0.25">
      <c r="C2191" t="s">
        <v>11076</v>
      </c>
      <c r="G2191" t="s">
        <v>11077</v>
      </c>
      <c r="H2191" t="s">
        <v>11078</v>
      </c>
      <c r="I2191">
        <v>104</v>
      </c>
      <c r="J2191" t="s">
        <v>11079</v>
      </c>
      <c r="K2191" t="s">
        <v>280</v>
      </c>
      <c r="L2191" t="s">
        <v>90</v>
      </c>
      <c r="M2191" t="s">
        <v>72</v>
      </c>
      <c r="N2191" t="s">
        <v>11080</v>
      </c>
      <c r="O2191" t="s">
        <v>1101</v>
      </c>
      <c r="P2191" t="s">
        <v>73</v>
      </c>
      <c r="Q2191" t="str">
        <f>"14214-____"</f>
        <v>14214-____</v>
      </c>
      <c r="AC2191" t="s">
        <v>75</v>
      </c>
      <c r="AD2191" t="s">
        <v>72</v>
      </c>
      <c r="AE2191" t="s">
        <v>91</v>
      </c>
      <c r="AG2191" t="s">
        <v>77</v>
      </c>
    </row>
    <row r="2192" spans="1:33" x14ac:dyDescent="0.25">
      <c r="C2192" t="s">
        <v>11081</v>
      </c>
      <c r="G2192" t="s">
        <v>11082</v>
      </c>
      <c r="H2192" t="s">
        <v>504</v>
      </c>
      <c r="I2192" t="s">
        <v>11083</v>
      </c>
      <c r="J2192" t="s">
        <v>11084</v>
      </c>
      <c r="K2192" t="s">
        <v>235</v>
      </c>
      <c r="L2192" t="s">
        <v>90</v>
      </c>
      <c r="M2192" t="s">
        <v>72</v>
      </c>
      <c r="N2192" t="s">
        <v>11085</v>
      </c>
      <c r="O2192" t="s">
        <v>3473</v>
      </c>
      <c r="P2192" t="s">
        <v>73</v>
      </c>
      <c r="Q2192" t="str">
        <f>"14760-____"</f>
        <v>14760-____</v>
      </c>
      <c r="AC2192" t="s">
        <v>75</v>
      </c>
      <c r="AD2192" t="s">
        <v>72</v>
      </c>
      <c r="AE2192" t="s">
        <v>91</v>
      </c>
      <c r="AG2192" t="s">
        <v>77</v>
      </c>
    </row>
    <row r="2193" spans="3:33" x14ac:dyDescent="0.25">
      <c r="C2193" t="s">
        <v>11086</v>
      </c>
      <c r="G2193" t="s">
        <v>447</v>
      </c>
      <c r="H2193" t="s">
        <v>3919</v>
      </c>
      <c r="J2193" t="s">
        <v>3920</v>
      </c>
      <c r="K2193" t="s">
        <v>197</v>
      </c>
      <c r="L2193" t="s">
        <v>90</v>
      </c>
      <c r="M2193" t="s">
        <v>72</v>
      </c>
      <c r="N2193" t="s">
        <v>11087</v>
      </c>
      <c r="O2193" t="s">
        <v>434</v>
      </c>
      <c r="P2193" t="s">
        <v>73</v>
      </c>
      <c r="Q2193" t="str">
        <f>"14569-____"</f>
        <v>14569-____</v>
      </c>
      <c r="AC2193" t="s">
        <v>75</v>
      </c>
      <c r="AD2193" t="s">
        <v>72</v>
      </c>
      <c r="AE2193" t="s">
        <v>91</v>
      </c>
      <c r="AG2193" t="s">
        <v>77</v>
      </c>
    </row>
    <row r="2194" spans="3:33" x14ac:dyDescent="0.25">
      <c r="C2194" t="s">
        <v>11088</v>
      </c>
      <c r="G2194" t="s">
        <v>11089</v>
      </c>
      <c r="H2194" t="s">
        <v>3583</v>
      </c>
      <c r="I2194">
        <v>309</v>
      </c>
      <c r="J2194" t="s">
        <v>11090</v>
      </c>
      <c r="K2194" t="s">
        <v>102</v>
      </c>
      <c r="L2194" t="s">
        <v>90</v>
      </c>
      <c r="M2194" t="s">
        <v>72</v>
      </c>
      <c r="N2194" t="s">
        <v>11091</v>
      </c>
      <c r="O2194" t="s">
        <v>1101</v>
      </c>
      <c r="P2194" t="s">
        <v>73</v>
      </c>
      <c r="Q2194" t="str">
        <f>"14207-____"</f>
        <v>14207-____</v>
      </c>
      <c r="AC2194" t="s">
        <v>75</v>
      </c>
      <c r="AD2194" t="s">
        <v>72</v>
      </c>
      <c r="AE2194" t="s">
        <v>91</v>
      </c>
      <c r="AG2194" t="s">
        <v>77</v>
      </c>
    </row>
    <row r="2195" spans="3:33" x14ac:dyDescent="0.25">
      <c r="C2195" t="s">
        <v>3816</v>
      </c>
      <c r="G2195" t="s">
        <v>11092</v>
      </c>
      <c r="H2195" t="s">
        <v>3817</v>
      </c>
      <c r="J2195" t="s">
        <v>3818</v>
      </c>
      <c r="K2195" t="s">
        <v>230</v>
      </c>
      <c r="L2195" t="s">
        <v>90</v>
      </c>
      <c r="M2195" t="s">
        <v>72</v>
      </c>
      <c r="N2195" t="s">
        <v>3819</v>
      </c>
      <c r="O2195" t="s">
        <v>1101</v>
      </c>
      <c r="P2195" t="s">
        <v>73</v>
      </c>
      <c r="Q2195" t="str">
        <f>"14209-____"</f>
        <v>14209-____</v>
      </c>
      <c r="AC2195" t="s">
        <v>75</v>
      </c>
      <c r="AD2195" t="s">
        <v>72</v>
      </c>
      <c r="AE2195" t="s">
        <v>91</v>
      </c>
      <c r="AG2195" t="s">
        <v>77</v>
      </c>
    </row>
    <row r="2196" spans="3:33" x14ac:dyDescent="0.25">
      <c r="C2196" t="s">
        <v>11093</v>
      </c>
      <c r="G2196" t="s">
        <v>11094</v>
      </c>
      <c r="H2196" t="s">
        <v>481</v>
      </c>
      <c r="I2196" t="s">
        <v>11095</v>
      </c>
      <c r="J2196" t="s">
        <v>11096</v>
      </c>
      <c r="K2196" t="s">
        <v>102</v>
      </c>
      <c r="L2196" t="s">
        <v>90</v>
      </c>
      <c r="M2196" t="s">
        <v>72</v>
      </c>
      <c r="N2196" t="s">
        <v>11097</v>
      </c>
      <c r="O2196" t="s">
        <v>487</v>
      </c>
      <c r="P2196" t="s">
        <v>73</v>
      </c>
      <c r="Q2196" t="str">
        <f>"14895-____"</f>
        <v>14895-____</v>
      </c>
      <c r="AC2196" t="s">
        <v>75</v>
      </c>
      <c r="AD2196" t="s">
        <v>72</v>
      </c>
      <c r="AE2196" t="s">
        <v>91</v>
      </c>
      <c r="AG2196" t="s">
        <v>77</v>
      </c>
    </row>
    <row r="2197" spans="3:33" x14ac:dyDescent="0.25">
      <c r="C2197" t="s">
        <v>11098</v>
      </c>
      <c r="G2197" t="s">
        <v>11099</v>
      </c>
      <c r="H2197" t="s">
        <v>461</v>
      </c>
      <c r="I2197" t="s">
        <v>3814</v>
      </c>
      <c r="J2197" t="s">
        <v>462</v>
      </c>
      <c r="K2197" t="s">
        <v>102</v>
      </c>
      <c r="L2197" t="s">
        <v>90</v>
      </c>
      <c r="M2197" t="s">
        <v>72</v>
      </c>
      <c r="N2197" t="s">
        <v>11100</v>
      </c>
      <c r="O2197" t="s">
        <v>425</v>
      </c>
      <c r="P2197" t="s">
        <v>73</v>
      </c>
      <c r="Q2197" t="str">
        <f>"14020-____"</f>
        <v>14020-____</v>
      </c>
      <c r="AC2197" t="s">
        <v>75</v>
      </c>
      <c r="AD2197" t="s">
        <v>72</v>
      </c>
      <c r="AE2197" t="s">
        <v>91</v>
      </c>
      <c r="AG2197" t="s">
        <v>77</v>
      </c>
    </row>
  </sheetData>
  <autoFilter ref="A1:AI219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320042571A148AC72BE3A987070B4" ma:contentTypeVersion="2" ma:contentTypeDescription="Create a new document." ma:contentTypeScope="" ma:versionID="19ce4d695bd55d6928f7bc9283fe62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07A20-0C1B-452D-AE94-62240023F32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62caa75-196a-4e38-861a-5b8d77e98c8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7970E4-8106-4B70-AE85-1DEEC86CD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D5E65-F4A2-4933-8881-C8DC59B97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 DY3Q1 Update</vt:lpstr>
      <vt:lpstr>CPWNY Perf Network 032017</vt:lpstr>
      <vt:lpstr>'2nd Tier Funds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2017-04-20T14:21:08Z</cp:lastPrinted>
  <dcterms:created xsi:type="dcterms:W3CDTF">2017-03-24T14:24:06Z</dcterms:created>
  <dcterms:modified xsi:type="dcterms:W3CDTF">2017-10-30T17:47:04Z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0x010100454320042571A148AC72BE3A987070B4</vt:lpwstr>
  </property>
  <property fmtid="{D5CDD505-2E9C-101B-9397-08002B2CF9AE}" pid="3" name="_AdHocReviewCycleID">
    <vt:i4>-2009802844</vt:i4>
  </property>
  <property fmtid="{D5CDD505-2E9C-101B-9397-08002B2CF9AE}" pid="4" name="_NewReviewCycle">
    <vt:lpwstr/>
  </property>
  <property fmtid="{D5CDD505-2E9C-101B-9397-08002B2CF9AE}" pid="5" name="_EmailSubject">
    <vt:lpwstr>MAPP &amp; PIT reports</vt:lpwstr>
  </property>
  <property fmtid="{D5CDD505-2E9C-101B-9397-08002B2CF9AE}" pid="6" name="_AuthorEmail">
    <vt:lpwstr>trampado@chsbuffalo.org</vt:lpwstr>
  </property>
  <property fmtid="{D5CDD505-2E9C-101B-9397-08002B2CF9AE}" pid="7" name="_AuthorEmailDisplayName">
    <vt:lpwstr>Rampado, Theresa</vt:lpwstr>
  </property>
  <property fmtid="{D5CDD505-2E9C-101B-9397-08002B2CF9AE}" pid="8" name="_ReviewingToolsShownOnce">
    <vt:lpwstr/>
  </property>
</Properties>
</file>